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ropbox\Faber Burner Shared\All Figures and Tables\"/>
    </mc:Choice>
  </mc:AlternateContent>
  <xr:revisionPtr revIDLastSave="0" documentId="13_ncr:1_{4BFD1064-8DB5-42C0-9F6C-7EFBF0752943}" xr6:coauthVersionLast="47" xr6:coauthVersionMax="47" xr10:uidLastSave="{00000000-0000-0000-0000-000000000000}"/>
  <bookViews>
    <workbookView xWindow="-120" yWindow="-120" windowWidth="29040" windowHeight="15720" tabRatio="791" xr2:uid="{74AF652E-BA4F-46E8-87A2-69F58172BB06}"/>
  </bookViews>
  <sheets>
    <sheet name="Instructions" sheetId="34" r:id="rId1"/>
    <sheet name="p 109" sheetId="33" r:id="rId2"/>
    <sheet name="9.1-1" sheetId="32" r:id="rId3"/>
    <sheet name="9.5-1" sheetId="31" r:id="rId4"/>
    <sheet name="10.7-1" sheetId="29" r:id="rId5"/>
    <sheet name="10.8-1" sheetId="30" r:id="rId6"/>
    <sheet name="11.1-1" sheetId="28" r:id="rId7"/>
    <sheet name="11.2-1" sheetId="27" r:id="rId8"/>
    <sheet name="11.3-1" sheetId="26" r:id="rId9"/>
    <sheet name="11.4-1" sheetId="25" r:id="rId10"/>
    <sheet name="11.5-1,2" sheetId="24" r:id="rId11"/>
    <sheet name="11.6-1,2" sheetId="23" r:id="rId12"/>
    <sheet name="11.7-1" sheetId="21" r:id="rId13"/>
    <sheet name="12.5-3" sheetId="19" r:id="rId14"/>
    <sheet name="12.7-1" sheetId="18" r:id="rId15"/>
    <sheet name="12.11-1" sheetId="17" r:id="rId16"/>
    <sheet name="12.13-1" sheetId="16" r:id="rId17"/>
    <sheet name="12.14-1" sheetId="20" r:id="rId18"/>
    <sheet name="13.2-1" sheetId="15" r:id="rId19"/>
    <sheet name="13.4-1" sheetId="14" r:id="rId20"/>
    <sheet name="13.5-1" sheetId="13" r:id="rId21"/>
    <sheet name="14.1-2" sheetId="12" r:id="rId22"/>
    <sheet name="14.1-4" sheetId="11" r:id="rId23"/>
    <sheet name="14.4-2" sheetId="10" r:id="rId24"/>
    <sheet name="15.1-5" sheetId="9" r:id="rId25"/>
    <sheet name="15.4-1" sheetId="8" r:id="rId26"/>
    <sheet name="16.2-1" sheetId="7" r:id="rId27"/>
    <sheet name="16.5-1" sheetId="6" r:id="rId28"/>
    <sheet name="16.7-1,2,3" sheetId="5" r:id="rId29"/>
    <sheet name="16.8-1" sheetId="4" r:id="rId30"/>
    <sheet name="Fig 17.1-1" sheetId="3" r:id="rId31"/>
    <sheet name="18.1-3" sheetId="1" r:id="rId32"/>
    <sheet name="20.3-1" sheetId="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28" hidden="1">'16.7-1,2,3'!$A$1:$A$106</definedName>
    <definedName name="a" localSheetId="4">'10.7-1'!$I$3:$I$6</definedName>
    <definedName name="a" localSheetId="5">'10.8-1'!$B$7:$B$10</definedName>
    <definedName name="A" localSheetId="6">'[7]10.3'!$D$16:$E$17</definedName>
    <definedName name="a" localSheetId="7">'11.2-1'!$M$3:$M$6</definedName>
    <definedName name="A" localSheetId="8">'[7]10.3'!$D$16:$E$17</definedName>
    <definedName name="A" localSheetId="9">'11.4-1'!$C$15:$D$16</definedName>
    <definedName name="a" localSheetId="10">'11.5-1,2'!$M$13:$M$17</definedName>
    <definedName name="a" localSheetId="11">'11.6-1,2'!$M$13:$M$17</definedName>
    <definedName name="a" localSheetId="12">'11.7-1'!$Y$20:$Y$29</definedName>
    <definedName name="a" localSheetId="16">'12.13-1'!$J$12:$J$15</definedName>
    <definedName name="a" localSheetId="23">'14.4-2'!$N$8:$N$17</definedName>
    <definedName name="a" localSheetId="28">'16.7-1,2,3'!$O$15:$O$20</definedName>
    <definedName name="a" localSheetId="29">'16.8-1'!$Q$15:$Q$20</definedName>
    <definedName name="a" localSheetId="3">'9.5-1'!$AA$26:$AA$35</definedName>
    <definedName name="A">'[5]10.3'!$D$16:$E$17</definedName>
    <definedName name="a_0" localSheetId="6">'[7]10.3'!$C$14</definedName>
    <definedName name="a_0" localSheetId="7">'[7]10.3'!$C$14</definedName>
    <definedName name="a_0" localSheetId="8">'[7]10.3'!$C$14</definedName>
    <definedName name="a_0" localSheetId="9">'11.4-1'!$B$13</definedName>
    <definedName name="a_0" localSheetId="12">'11.7-1'!$Y$20</definedName>
    <definedName name="a_0">'[5]10.3'!$C$14</definedName>
    <definedName name="a_1" localSheetId="12">'11.7-1'!$Y$21:$Y$23</definedName>
    <definedName name="a_1" localSheetId="3">'9.5-1'!$AN$3</definedName>
    <definedName name="a_2" localSheetId="12">'11.7-1'!$Y$24:$Y$26</definedName>
    <definedName name="a_2" localSheetId="3">'9.5-1'!$AN$6</definedName>
    <definedName name="a_3" localSheetId="12">'11.7-1'!$Y$27:$Y$29</definedName>
    <definedName name="a_j" localSheetId="29">'16.8-1'!$O$15:$O$20</definedName>
    <definedName name="a_x1" localSheetId="28">'16.7-1,2,3'!$AA$3:$AA$7</definedName>
    <definedName name="a_x2" localSheetId="28">'16.7-1,2,3'!$AA$10:$AA$14</definedName>
    <definedName name="a_x3" localSheetId="28">'16.7-1,2,3'!$AA$17:$AA$21</definedName>
    <definedName name="a_x4" localSheetId="28">'16.7-1,2,3'!$AA$24:$AA$28</definedName>
    <definedName name="a_x5" localSheetId="28">'16.7-1,2,3'!$AA$31:$AA$35</definedName>
    <definedName name="a_y1" localSheetId="28">'16.7-1,2,3'!$AC$3:$AC$7</definedName>
    <definedName name="a_y2" localSheetId="28">'16.7-1,2,3'!$AC$10:$AC$14</definedName>
    <definedName name="a_y3" localSheetId="28">'16.7-1,2,3'!$AC$17:$AC$21</definedName>
    <definedName name="a_y4" localSheetId="28">'16.7-1,2,3'!$AC$24:$AC$28</definedName>
    <definedName name="a_y5" localSheetId="28">'16.7-1,2,3'!$AC$31:$AC$35</definedName>
    <definedName name="b" localSheetId="10">'11.5-1,2'!$N$13:$N$17</definedName>
    <definedName name="b" localSheetId="11">'11.6-1,2'!$N$13:$N$17</definedName>
    <definedName name="b" localSheetId="12">'11.7-1'!$AE$25:$AE$28</definedName>
    <definedName name="b" localSheetId="23">'14.4-2'!$V$30:$V$39</definedName>
    <definedName name="c_" localSheetId="12">'11.7-1'!$AB$25:$AB$28</definedName>
    <definedName name="d" localSheetId="12">'11.7-1'!$Z$20:$Z$29</definedName>
    <definedName name="DFR" localSheetId="28">'16.7-1,2,3'!$P$11</definedName>
    <definedName name="DFR" localSheetId="29">'16.8-1'!$O$11</definedName>
    <definedName name="F_s" localSheetId="25">'15.4-1'!$C$3:$F$10</definedName>
    <definedName name="F_t" localSheetId="25">'15.4-1'!$I$3:$L$6</definedName>
    <definedName name="H" localSheetId="3">'9.5-1'!$P$3:$Y$102</definedName>
    <definedName name="INV_QSA" localSheetId="24">[3]Q!$U$2:$AD$11</definedName>
    <definedName name="INV_QSC" localSheetId="24">[3]Q!$B$2:$H$8</definedName>
    <definedName name="INV_QSL" localSheetId="24">[3]Q!$J$2:$S$11</definedName>
    <definedName name="INV_S" localSheetId="21">'14.1-2'!$A$26:$G$32</definedName>
    <definedName name="INV_S" localSheetId="23">'14.4-2'!$A$52:$J$61</definedName>
    <definedName name="INV_S1" localSheetId="21">'14.1-2'!$H$26:$N$32</definedName>
    <definedName name="INV_S2" localSheetId="21">'14.1-2'!$O$26:$U$32</definedName>
    <definedName name="INV_S3" localSheetId="21">'14.1-2'!$V$26:$AB$32</definedName>
    <definedName name="INV_X" localSheetId="23">'14.4-2'!$L$19:$U$28</definedName>
    <definedName name="INV_XTX" localSheetId="29">'16.8-1'!$M$3:$R$8</definedName>
    <definedName name="INV_XTX">'16.7-1,2,3'!$N$3:$S$8</definedName>
    <definedName name="INV_ZSA" localSheetId="24">'15.1-5'!$M$31:$V$40</definedName>
    <definedName name="INV_ZSC" localSheetId="24">'15.1-5'!$I$11:$O$17</definedName>
    <definedName name="INV_ZSL" localSheetId="24">'15.1-5'!$B$31:$K$40</definedName>
    <definedName name="K" localSheetId="6">'[7]10.3'!$F$15:$G$16</definedName>
    <definedName name="K" localSheetId="7">'[7]10.3'!$F$15:$G$16</definedName>
    <definedName name="K" localSheetId="8">'[7]10.3'!$F$15:$G$16</definedName>
    <definedName name="K" localSheetId="9">'11.4-1'!$E$14:$F$15</definedName>
    <definedName name="K" localSheetId="12">'[6]6.3'!$F$15:$G$16</definedName>
    <definedName name="K">'[5]10.3'!$F$15:$G$16</definedName>
    <definedName name="L" localSheetId="11">'11.6-1,2'!$B$19:$F$23</definedName>
    <definedName name="L">'11.5-1,2'!$B$19:$F$23</definedName>
    <definedName name="L_T" localSheetId="12">'11.7-1'!$AB$20:$AE$23</definedName>
    <definedName name="LT_INV" localSheetId="3">'9.5-1'!$AA$14:$AJ$23</definedName>
    <definedName name="m" localSheetId="7">'11.2-1'!$H$8</definedName>
    <definedName name="m" localSheetId="16">'12.13-1'!$K$14</definedName>
    <definedName name="m_1" localSheetId="3">'9.5-1'!$AN$4</definedName>
    <definedName name="m_2" localSheetId="3">'9.5-1'!$AN$7</definedName>
    <definedName name="n" localSheetId="7">'11.2-1'!$H$9</definedName>
    <definedName name="n" localSheetId="16">'12.13-1'!$K$12</definedName>
    <definedName name="p" localSheetId="12">'11.7-1'!$X$20:$X$29</definedName>
    <definedName name="p_0" localSheetId="12">'11.7-1'!$X$20</definedName>
    <definedName name="p_1" localSheetId="12">'11.7-1'!$X$21:$X$23</definedName>
    <definedName name="p_2" localSheetId="12">'11.7-1'!$X$24:$X$26</definedName>
    <definedName name="p_3" localSheetId="12">'11.7-1'!$X$27:$X$29</definedName>
    <definedName name="Q" localSheetId="12">'11.7-1'!$AI$2:$AR$17</definedName>
    <definedName name="Q_0" localSheetId="12">'11.7-1'!$AI$2:$AI$17</definedName>
    <definedName name="Q_1" localSheetId="12">'11.7-1'!$AJ$2:$AL$17</definedName>
    <definedName name="Q_2" localSheetId="12">'11.7-1'!$AM$2:$AO$17</definedName>
    <definedName name="Q_3" localSheetId="12">'11.7-1'!$AP$2:$AR$17</definedName>
    <definedName name="Q_adj" localSheetId="12">'11.7-1'!$M$3:$V$18</definedName>
    <definedName name="q_s" localSheetId="25">'15.4-1'!$B$3:$B$10</definedName>
    <definedName name="s" localSheetId="28">'16.7-1,2,3'!$S$11</definedName>
    <definedName name="s" localSheetId="29">'16.8-1'!$R$11</definedName>
    <definedName name="s_1" localSheetId="3">'9.5-1'!$AN$5</definedName>
    <definedName name="s_2" localSheetId="3">'9.5-1'!$AN$8</definedName>
    <definedName name="Samek" localSheetId="12">'11.7-1'!$B$33:$K$42</definedName>
    <definedName name="Samek_Inv" localSheetId="12">'11.7-1'!$M$1:$V$1</definedName>
    <definedName name="solver_adj" localSheetId="12" hidden="1">'11.7-1'!#REF!</definedName>
    <definedName name="solver_adj" localSheetId="31" hidden="1">'18.1-3'!$I$19</definedName>
    <definedName name="solver_cvg" localSheetId="12" hidden="1">0.0001</definedName>
    <definedName name="solver_cvg" localSheetId="31" hidden="1">0.0001</definedName>
    <definedName name="solver_drv" localSheetId="12" hidden="1">1</definedName>
    <definedName name="solver_drv" localSheetId="31" hidden="1">1</definedName>
    <definedName name="solver_eng" localSheetId="6" hidden="1">1</definedName>
    <definedName name="solver_eng" localSheetId="12" hidden="1">1</definedName>
    <definedName name="solver_eng" localSheetId="31" hidden="1">1</definedName>
    <definedName name="solver_itr" localSheetId="12" hidden="1">2147483647</definedName>
    <definedName name="solver_itr" localSheetId="31" hidden="1">2147483647</definedName>
    <definedName name="solver_lhs1" localSheetId="12" hidden="1">'11.7-1'!#REF!</definedName>
    <definedName name="solver_lin" localSheetId="6" hidden="1">2</definedName>
    <definedName name="solver_lin" localSheetId="12" hidden="1">2</definedName>
    <definedName name="solver_lin" localSheetId="31" hidden="1">2</definedName>
    <definedName name="solver_mip" localSheetId="12" hidden="1">2147483647</definedName>
    <definedName name="solver_mip" localSheetId="31" hidden="1">2147483647</definedName>
    <definedName name="solver_mni" localSheetId="12" hidden="1">30</definedName>
    <definedName name="solver_mni" localSheetId="31" hidden="1">30</definedName>
    <definedName name="solver_mrt" localSheetId="12" hidden="1">0.075</definedName>
    <definedName name="solver_mrt" localSheetId="31" hidden="1">0.075</definedName>
    <definedName name="solver_msl" localSheetId="12" hidden="1">2</definedName>
    <definedName name="solver_msl" localSheetId="31" hidden="1">2</definedName>
    <definedName name="solver_neg" localSheetId="6" hidden="1">1</definedName>
    <definedName name="solver_neg" localSheetId="12" hidden="1">1</definedName>
    <definedName name="solver_neg" localSheetId="31" hidden="1">2</definedName>
    <definedName name="solver_nod" localSheetId="12" hidden="1">2147483647</definedName>
    <definedName name="solver_nod" localSheetId="31" hidden="1">2147483647</definedName>
    <definedName name="solver_num" localSheetId="6" hidden="1">0</definedName>
    <definedName name="solver_num" localSheetId="12" hidden="1">1</definedName>
    <definedName name="solver_num" localSheetId="31" hidden="1">0</definedName>
    <definedName name="solver_opt" localSheetId="6" hidden="1">'11.1-1'!#REF!</definedName>
    <definedName name="solver_opt" localSheetId="12" hidden="1">'11.7-1'!#REF!</definedName>
    <definedName name="solver_opt" localSheetId="31" hidden="1">'18.1-3'!$G$19</definedName>
    <definedName name="solver_pre" localSheetId="12" hidden="1">0.000001</definedName>
    <definedName name="solver_pre" localSheetId="31" hidden="1">0.000001</definedName>
    <definedName name="solver_rbv" localSheetId="12" hidden="1">1</definedName>
    <definedName name="solver_rbv" localSheetId="31" hidden="1">1</definedName>
    <definedName name="solver_rel1" localSheetId="12" hidden="1">1</definedName>
    <definedName name="solver_rhs1" localSheetId="12" hidden="1">4</definedName>
    <definedName name="solver_rlx" localSheetId="12" hidden="1">1</definedName>
    <definedName name="solver_rlx" localSheetId="31" hidden="1">2</definedName>
    <definedName name="solver_rsd" localSheetId="12" hidden="1">0</definedName>
    <definedName name="solver_rsd" localSheetId="31" hidden="1">0</definedName>
    <definedName name="solver_scl" localSheetId="12" hidden="1">2</definedName>
    <definedName name="solver_scl" localSheetId="31" hidden="1">1</definedName>
    <definedName name="solver_sho" localSheetId="12" hidden="1">2</definedName>
    <definedName name="solver_sho" localSheetId="31" hidden="1">2</definedName>
    <definedName name="solver_ssz" localSheetId="12" hidden="1">100</definedName>
    <definedName name="solver_ssz" localSheetId="31" hidden="1">100</definedName>
    <definedName name="solver_tim" localSheetId="12" hidden="1">2147483647</definedName>
    <definedName name="solver_tim" localSheetId="31" hidden="1">2147483647</definedName>
    <definedName name="solver_tol" localSheetId="12" hidden="1">0.01</definedName>
    <definedName name="solver_tol" localSheetId="31" hidden="1">0.01</definedName>
    <definedName name="solver_typ" localSheetId="6" hidden="1">1</definedName>
    <definedName name="solver_typ" localSheetId="12" hidden="1">3</definedName>
    <definedName name="solver_typ" localSheetId="31" hidden="1">1</definedName>
    <definedName name="solver_val" localSheetId="6" hidden="1">0</definedName>
    <definedName name="solver_val" localSheetId="12" hidden="1">0</definedName>
    <definedName name="solver_val" localSheetId="31" hidden="1">0</definedName>
    <definedName name="solver_ver" localSheetId="6" hidden="1">2</definedName>
    <definedName name="solver_ver" localSheetId="12" hidden="1">2</definedName>
    <definedName name="solver_ver" localSheetId="31" hidden="1">2</definedName>
    <definedName name="t_crit" localSheetId="28">'16.7-1,2,3'!$T$10</definedName>
    <definedName name="t_crit" localSheetId="29">'16.8-1'!$T$12</definedName>
    <definedName name="U" localSheetId="12">'11.7-1'!$AB$3:$AE$18</definedName>
    <definedName name="u" localSheetId="16">'12.13-1'!$K$16</definedName>
    <definedName name="u_" localSheetId="9">'11.4-1'!$K$3:$L$11</definedName>
    <definedName name="V" localSheetId="12">'11.7-1'!$AS$3:$AV$18</definedName>
    <definedName name="W" localSheetId="10">'11.5-1,2'!$G$3:$K$11</definedName>
    <definedName name="W" localSheetId="11">'11.6-1,2'!$G$3:$K$11</definedName>
    <definedName name="W" localSheetId="21">'14.1-2'!$H$3:$N$14</definedName>
    <definedName name="W" localSheetId="23">'14.4-2'!$M$3:$U$17</definedName>
    <definedName name="W_1" localSheetId="21">'14.1-2'!$O$3:$U$14</definedName>
    <definedName name="W_2" localSheetId="21">'14.1-2'!$V$3:$AB$14</definedName>
    <definedName name="wX" localSheetId="3">'9.5-1'!$F$3:$O$102</definedName>
    <definedName name="X" localSheetId="4">'10.7-1'!$E$3:$H$11</definedName>
    <definedName name="X" localSheetId="7">'11.2-1'!$A$3:$D$10</definedName>
    <definedName name="X" localSheetId="9">'11.4-1'!$B$3:$G$11</definedName>
    <definedName name="X" localSheetId="10">'11.5-1,2'!$B$3:$F$11</definedName>
    <definedName name="X" localSheetId="11">'11.6-1,2'!$B$3:$F$11</definedName>
    <definedName name="X" localSheetId="12">'11.7-1'!$B$3:$K$18</definedName>
    <definedName name="X" localSheetId="16">'12.13-1'!$E$3:$H$10</definedName>
    <definedName name="X" localSheetId="17">'12.14-1'!$H$3:$O$38</definedName>
    <definedName name="X" localSheetId="21">'14.1-2'!$A$3:$G$14</definedName>
    <definedName name="X" localSheetId="22">'14.1-4'!$A$3:$F$14</definedName>
    <definedName name="X" localSheetId="23">'14.4-2'!$A$3:$J$17</definedName>
    <definedName name="X" localSheetId="28">'16.7-1,2,3'!$D$3:$I$30</definedName>
    <definedName name="X" localSheetId="29">'16.8-1'!$G$3:$L$30</definedName>
    <definedName name="X" localSheetId="31">'18.1-3'!$H$4:$L$17</definedName>
    <definedName name="X">'9.1-1'!$G$3:$J$13</definedName>
    <definedName name="x_" localSheetId="9">'11.4-1'!$C$3:$D$11</definedName>
    <definedName name="X_0" localSheetId="12">'11.7-1'!$B$3:$B$18</definedName>
    <definedName name="X_1" localSheetId="12">'11.7-1'!$C$3:$E$18</definedName>
    <definedName name="x_1" localSheetId="28">'16.7-1,2,3'!$E$3:$E$30</definedName>
    <definedName name="X_2" localSheetId="12">'11.7-1'!$F$3:$H$18</definedName>
    <definedName name="x_2" localSheetId="28">'16.7-1,2,3'!$F$3:$F$30</definedName>
    <definedName name="X_3" localSheetId="12">'11.7-1'!$I$3:$K$18</definedName>
    <definedName name="x_3" localSheetId="28">'16.7-1,2,3'!$G$3:$G$30</definedName>
    <definedName name="x_4" localSheetId="28">'16.7-1,2,3'!$H$3:$H$30</definedName>
    <definedName name="x_5" localSheetId="28">'16.7-1,2,3'!$I$3:$I$30</definedName>
    <definedName name="X_not_1" localSheetId="28">'16.7-1,2,3'!$F$3:$J$30</definedName>
    <definedName name="X_not_2" localSheetId="28">'16.7-1,2,3'!$G$3:$K$30</definedName>
    <definedName name="X_not_3" localSheetId="28">'16.7-1,2,3'!$H$3:$L$30</definedName>
    <definedName name="X_not_4">'16.7-1,2,3'!$I$3:$M$30</definedName>
    <definedName name="X_not_5" localSheetId="28">'16.7-1,2,3'!$D$3:$H$30</definedName>
    <definedName name="x_S" localSheetId="9">'11.4-1'!$I$15:$I$16</definedName>
    <definedName name="X_sig">'14.1-4'!$P$3:$S$14</definedName>
    <definedName name="x_SV" localSheetId="29">'16.8-1'!$N$15:$N$20</definedName>
    <definedName name="XTX" localSheetId="16">'12.13-1'!$A$12:$D$15</definedName>
    <definedName name="XTX" localSheetId="23">'14.4-2'!$A$19:$J$28</definedName>
    <definedName name="XTX" localSheetId="31">'18.1-3'!$H$21:$L$25</definedName>
    <definedName name="XTX_Inv" localSheetId="16">'12.13-1'!$E$12:$H$15</definedName>
    <definedName name="XTy" localSheetId="16">'12.13-1'!$I$12:$I$15</definedName>
    <definedName name="XTy" localSheetId="23">'14.4-2'!$K$19:$K$28</definedName>
    <definedName name="y" localSheetId="4">'10.7-1'!$C$3:$C$11</definedName>
    <definedName name="y" localSheetId="7">'11.2-1'!$E$3:$E$10</definedName>
    <definedName name="y" localSheetId="9">'11.4-1'!$H$3:$H$11</definedName>
    <definedName name="y" localSheetId="10">'11.5-1,2'!$L$3:$L$11</definedName>
    <definedName name="y" localSheetId="11">'11.6-1,2'!$L$3:$L$11</definedName>
    <definedName name="y" localSheetId="12">'11.7-1'!$AA$3:$AA$18</definedName>
    <definedName name="y" localSheetId="16">'12.13-1'!$I$3:$I$10</definedName>
    <definedName name="y" localSheetId="22">'14.1-4'!$G$3:$G$14</definedName>
    <definedName name="y" localSheetId="23">'14.4-2'!$K$3:$K$17</definedName>
    <definedName name="y" localSheetId="28">'16.7-1,2,3'!$B$3:$B$30</definedName>
    <definedName name="y" localSheetId="29">'16.8-1'!$B$3:$B$30</definedName>
    <definedName name="y" localSheetId="31">'18.1-3'!$D$4:$D$17</definedName>
    <definedName name="y" localSheetId="3">'9.5-1'!$D$3:$D$102</definedName>
    <definedName name="y">'9.1-1'!$D$3:$D$13</definedName>
    <definedName name="y_bar" localSheetId="7">'11.2-1'!$H$10</definedName>
    <definedName name="y_bar" localSheetId="28">'16.7-1,2,3'!$B$31</definedName>
    <definedName name="y_bar" localSheetId="29">'16.8-1'!$B$31</definedName>
    <definedName name="y_hat" localSheetId="7">'11.2-1'!$F$3:$F$10</definedName>
    <definedName name="y_hat" localSheetId="12">'11.7-1'!$Y$3:$Y$18</definedName>
    <definedName name="y_hat" localSheetId="16">'12.13-1'!$J$3:$J$10</definedName>
    <definedName name="y_hat" localSheetId="22">'14.1-4'!$H$3:$H$14</definedName>
    <definedName name="y_hat" localSheetId="23">'14.4-2'!$L$3:$L$17</definedName>
    <definedName name="y_hat" localSheetId="28">'16.7-1,2,3'!$C$3:$C$30</definedName>
    <definedName name="y_hat" localSheetId="29">'16.8-1'!$C$3:$C$30</definedName>
    <definedName name="y_hat" localSheetId="3">'9.5-1'!$E$3:$E$102</definedName>
    <definedName name="y_max" localSheetId="31">'18.1-3'!$G$19</definedName>
    <definedName name="y_r" localSheetId="16">'12.13-1'!$K$3:$K$10</definedName>
    <definedName name="y_S" localSheetId="9">'11.4-1'!$I$13</definedName>
    <definedName name="Z_SA" localSheetId="24">'15.1-5'!$M$20:$V$29</definedName>
    <definedName name="Z_SC" localSheetId="24">'15.1-5'!$I$3:$O$9</definedName>
    <definedName name="Z_SL" localSheetId="24">'15.1-5'!$B$20:$K$29</definedName>
    <definedName name="ZINVQ_SA" localSheetId="24">[3]Q!$U$13:$AD$22</definedName>
    <definedName name="ZINVQ_SC" localSheetId="24">[3]Q!$B$10:$H$16</definedName>
    <definedName name="ZINVQ_SL" localSheetId="24">[3]Q!$J$13:$S$22</definedName>
    <definedName name="α" localSheetId="9">'11.4-1'!$B$14:$B$15</definedName>
    <definedName name="β" localSheetId="9">'11.4-1'!$G$13:$H$13</definedName>
    <definedName name="Λ" localSheetId="9">'11.4-1'!$G$15:$H$16</definedName>
    <definedName name="λ" localSheetId="29">'16.8-1'!$T$13</definedName>
    <definedName name="ͶA" localSheetId="12">'11.7-1'!$AH$14:$AH$23</definedName>
    <definedName name="ͶS_adj_Inv" localSheetId="12">'11.7-1'!$X$33:$AG$42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3" l="1"/>
  <c r="B6" i="33"/>
  <c r="C6" i="33"/>
  <c r="D6" i="33"/>
  <c r="B7" i="33"/>
  <c r="C7" i="33"/>
  <c r="D7" i="33"/>
  <c r="B8" i="33"/>
  <c r="C8" i="33"/>
  <c r="D8" i="33"/>
  <c r="E8" i="33"/>
  <c r="J8" i="33"/>
  <c r="O8" i="33"/>
  <c r="L10" i="33"/>
  <c r="M10" i="33"/>
  <c r="N10" i="33"/>
  <c r="L11" i="33"/>
  <c r="M11" i="33"/>
  <c r="N11" i="33"/>
  <c r="E12" i="33"/>
  <c r="J12" i="33"/>
  <c r="L12" i="33"/>
  <c r="M12" i="33"/>
  <c r="N12" i="33"/>
  <c r="O12" i="33" l="1"/>
  <c r="H3" i="32"/>
  <c r="I3" i="32"/>
  <c r="J3" i="32"/>
  <c r="H4" i="32"/>
  <c r="I4" i="32"/>
  <c r="J4" i="32"/>
  <c r="H5" i="32"/>
  <c r="I5" i="32"/>
  <c r="J5" i="32"/>
  <c r="H6" i="32"/>
  <c r="I6" i="32"/>
  <c r="J6" i="32"/>
  <c r="H7" i="32"/>
  <c r="I7" i="32"/>
  <c r="J7" i="32"/>
  <c r="H8" i="32"/>
  <c r="I8" i="32"/>
  <c r="J8" i="32"/>
  <c r="H9" i="32"/>
  <c r="I9" i="32"/>
  <c r="J9" i="32"/>
  <c r="H10" i="32"/>
  <c r="I10" i="32"/>
  <c r="J10" i="32"/>
  <c r="H11" i="32"/>
  <c r="I11" i="32"/>
  <c r="J11" i="32"/>
  <c r="H12" i="32"/>
  <c r="I12" i="32"/>
  <c r="J12" i="32"/>
  <c r="H13" i="32"/>
  <c r="I13" i="32"/>
  <c r="J13" i="32"/>
  <c r="B4" i="31" l="1"/>
  <c r="B5" i="31" s="1"/>
  <c r="AE36" i="31"/>
  <c r="AE37" i="31"/>
  <c r="Z38" i="31"/>
  <c r="AA38" i="31"/>
  <c r="AD38" i="31"/>
  <c r="AE38" i="31"/>
  <c r="H2" i="30" a="1"/>
  <c r="I2" i="30" s="1"/>
  <c r="F3" i="29"/>
  <c r="G3" i="29" s="1"/>
  <c r="AF38" i="31" l="1"/>
  <c r="B6" i="31"/>
  <c r="K5" i="30"/>
  <c r="H2" i="30"/>
  <c r="H3" i="30"/>
  <c r="J5" i="30"/>
  <c r="I5" i="30"/>
  <c r="K4" i="30"/>
  <c r="I4" i="30"/>
  <c r="H4" i="30"/>
  <c r="K3" i="30"/>
  <c r="J3" i="30"/>
  <c r="I3" i="30"/>
  <c r="K2" i="30"/>
  <c r="H5" i="30"/>
  <c r="J4" i="30"/>
  <c r="J2" i="30"/>
  <c r="H3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 s="1"/>
  <c r="F9" i="29"/>
  <c r="G9" i="29"/>
  <c r="H9" i="29"/>
  <c r="F10" i="29"/>
  <c r="G10" i="29"/>
  <c r="H10" i="29"/>
  <c r="F11" i="29"/>
  <c r="G11" i="29"/>
  <c r="H11" i="29"/>
  <c r="B16" i="29"/>
  <c r="B5" i="30" s="1"/>
  <c r="C16" i="29"/>
  <c r="C5" i="30" s="1"/>
  <c r="B7" i="31" l="1"/>
  <c r="H7" i="30" a="1"/>
  <c r="H8" i="29"/>
  <c r="B8" i="28"/>
  <c r="E14" i="28" s="1" a="1"/>
  <c r="K8" i="28"/>
  <c r="N8" i="28" s="1" a="1"/>
  <c r="L8" i="28"/>
  <c r="M8" i="28"/>
  <c r="B9" i="28"/>
  <c r="D9" i="28"/>
  <c r="K9" i="28"/>
  <c r="L9" i="28"/>
  <c r="M9" i="28"/>
  <c r="D10" i="28"/>
  <c r="K10" i="28"/>
  <c r="L10" i="28"/>
  <c r="M10" i="28"/>
  <c r="D11" i="28"/>
  <c r="K11" i="28"/>
  <c r="L11" i="28"/>
  <c r="M11" i="28"/>
  <c r="A14" i="28" a="1"/>
  <c r="C14" i="28" s="1"/>
  <c r="P14" i="28" a="1"/>
  <c r="G14" i="28" a="1"/>
  <c r="B8" i="31" l="1"/>
  <c r="I7" i="30"/>
  <c r="K10" i="30"/>
  <c r="H8" i="30"/>
  <c r="K9" i="30"/>
  <c r="K8" i="30"/>
  <c r="K7" i="30"/>
  <c r="J9" i="30"/>
  <c r="H9" i="30"/>
  <c r="I9" i="30"/>
  <c r="J10" i="30"/>
  <c r="H10" i="30"/>
  <c r="J7" i="30"/>
  <c r="J8" i="30"/>
  <c r="H7" i="30"/>
  <c r="I10" i="30"/>
  <c r="I8" i="30"/>
  <c r="P14" i="28"/>
  <c r="P15" i="28"/>
  <c r="P16" i="28"/>
  <c r="G14" i="28"/>
  <c r="G15" i="28"/>
  <c r="G16" i="28"/>
  <c r="E15" i="28"/>
  <c r="E14" i="28"/>
  <c r="E16" i="28"/>
  <c r="N8" i="28"/>
  <c r="N9" i="28"/>
  <c r="N10" i="28"/>
  <c r="N11" i="28"/>
  <c r="C15" i="28"/>
  <c r="A14" i="28"/>
  <c r="N14" i="28" a="1"/>
  <c r="N3" i="28" a="1"/>
  <c r="B14" i="28"/>
  <c r="B15" i="28"/>
  <c r="A15" i="28"/>
  <c r="C16" i="28"/>
  <c r="J14" i="28" a="1"/>
  <c r="D8" i="28"/>
  <c r="E8" i="28" s="1" a="1"/>
  <c r="A16" i="28"/>
  <c r="E3" i="28" a="1"/>
  <c r="B16" i="28"/>
  <c r="D3" i="27"/>
  <c r="D4" i="27"/>
  <c r="D5" i="27"/>
  <c r="D6" i="27"/>
  <c r="D7" i="27"/>
  <c r="D8" i="27"/>
  <c r="H8" i="27"/>
  <c r="D9" i="27"/>
  <c r="H9" i="27"/>
  <c r="I17" i="27" s="1"/>
  <c r="D10" i="27"/>
  <c r="M3" i="27" s="1" a="1"/>
  <c r="H10" i="27"/>
  <c r="I13" i="27"/>
  <c r="I14" i="27"/>
  <c r="I15" i="27"/>
  <c r="C16" i="27"/>
  <c r="I16" i="27"/>
  <c r="B9" i="31" l="1"/>
  <c r="N15" i="28"/>
  <c r="N14" i="28"/>
  <c r="N16" i="28"/>
  <c r="O4" i="28"/>
  <c r="Q4" i="28"/>
  <c r="Q5" i="28"/>
  <c r="N4" i="28"/>
  <c r="O6" i="28"/>
  <c r="P6" i="28"/>
  <c r="P3" i="28"/>
  <c r="Q3" i="28"/>
  <c r="P4" i="28"/>
  <c r="N6" i="28"/>
  <c r="Q6" i="28"/>
  <c r="O3" i="28"/>
  <c r="N5" i="28"/>
  <c r="O5" i="28"/>
  <c r="P5" i="28"/>
  <c r="N3" i="28"/>
  <c r="H4" i="28"/>
  <c r="F6" i="28"/>
  <c r="H6" i="28"/>
  <c r="G5" i="28"/>
  <c r="G6" i="28"/>
  <c r="F3" i="28"/>
  <c r="G3" i="28"/>
  <c r="H5" i="28"/>
  <c r="E3" i="28"/>
  <c r="G8" i="28" s="1" a="1"/>
  <c r="H3" i="28"/>
  <c r="E5" i="28"/>
  <c r="F5" i="28"/>
  <c r="F4" i="28"/>
  <c r="E4" i="28"/>
  <c r="G4" i="28"/>
  <c r="E6" i="28"/>
  <c r="E8" i="28"/>
  <c r="E9" i="28"/>
  <c r="E11" i="28"/>
  <c r="E10" i="28"/>
  <c r="J15" i="28"/>
  <c r="K15" i="28"/>
  <c r="K14" i="28"/>
  <c r="L14" i="28"/>
  <c r="J16" i="28"/>
  <c r="L15" i="28"/>
  <c r="J14" i="28"/>
  <c r="K16" i="28"/>
  <c r="L16" i="28"/>
  <c r="H3" i="27" a="1"/>
  <c r="K5" i="27" s="1"/>
  <c r="M4" i="27"/>
  <c r="M6" i="27"/>
  <c r="M3" i="27"/>
  <c r="M5" i="27"/>
  <c r="I18" i="27"/>
  <c r="C18" i="27"/>
  <c r="H18" i="27"/>
  <c r="L3" i="27" a="1"/>
  <c r="B18" i="27"/>
  <c r="J18" i="27" s="1"/>
  <c r="C17" i="27"/>
  <c r="F2" i="26" a="1"/>
  <c r="G2" i="26" s="1"/>
  <c r="J2" i="26" a="1"/>
  <c r="B10" i="31" l="1"/>
  <c r="P8" i="28" a="1"/>
  <c r="G11" i="28"/>
  <c r="G9" i="28"/>
  <c r="G8" i="28"/>
  <c r="G10" i="28"/>
  <c r="K6" i="27"/>
  <c r="K4" i="27"/>
  <c r="I6" i="27"/>
  <c r="I5" i="27"/>
  <c r="H5" i="27"/>
  <c r="J3" i="27"/>
  <c r="I4" i="27"/>
  <c r="J4" i="27"/>
  <c r="H4" i="27"/>
  <c r="J5" i="27"/>
  <c r="I3" i="27"/>
  <c r="H6" i="27"/>
  <c r="H3" i="27"/>
  <c r="J6" i="27"/>
  <c r="F3" i="27" a="1"/>
  <c r="F4" i="27" s="1"/>
  <c r="K3" i="27"/>
  <c r="L4" i="27"/>
  <c r="B13" i="27" s="1"/>
  <c r="L6" i="27"/>
  <c r="B15" i="27" s="1"/>
  <c r="L3" i="27"/>
  <c r="L5" i="27"/>
  <c r="B14" i="27" s="1"/>
  <c r="F2" i="26"/>
  <c r="I2" i="26"/>
  <c r="H2" i="26"/>
  <c r="J2" i="26"/>
  <c r="F3" i="26"/>
  <c r="G3" i="26"/>
  <c r="H3" i="26"/>
  <c r="I3" i="26"/>
  <c r="J3" i="26"/>
  <c r="F4" i="26"/>
  <c r="G4" i="26"/>
  <c r="H4" i="26"/>
  <c r="I4" i="26"/>
  <c r="J4" i="26"/>
  <c r="F5" i="26"/>
  <c r="G5" i="26"/>
  <c r="H5" i="26"/>
  <c r="I5" i="26"/>
  <c r="J5" i="26"/>
  <c r="B11" i="26" a="1"/>
  <c r="B11" i="31" l="1"/>
  <c r="P10" i="28"/>
  <c r="P8" i="28"/>
  <c r="P11" i="28"/>
  <c r="P9" i="28"/>
  <c r="D3" i="28" a="1"/>
  <c r="F10" i="27"/>
  <c r="F6" i="27"/>
  <c r="F9" i="27"/>
  <c r="F8" i="27"/>
  <c r="F3" i="27"/>
  <c r="F7" i="27"/>
  <c r="F5" i="27"/>
  <c r="D15" i="27"/>
  <c r="H15" i="27"/>
  <c r="J15" i="27"/>
  <c r="H14" i="27"/>
  <c r="J14" i="27"/>
  <c r="D14" i="27"/>
  <c r="D13" i="27"/>
  <c r="H13" i="27"/>
  <c r="J13" i="27"/>
  <c r="B11" i="26"/>
  <c r="C11" i="26"/>
  <c r="D11" i="26"/>
  <c r="E11" i="26"/>
  <c r="B12" i="26"/>
  <c r="C12" i="26"/>
  <c r="D12" i="26"/>
  <c r="E12" i="26"/>
  <c r="B13" i="26"/>
  <c r="C13" i="26"/>
  <c r="D13" i="26"/>
  <c r="E13" i="26"/>
  <c r="B14" i="26"/>
  <c r="C14" i="26"/>
  <c r="D14" i="26"/>
  <c r="E14" i="26"/>
  <c r="B15" i="26"/>
  <c r="C15" i="26"/>
  <c r="D15" i="26"/>
  <c r="E15" i="26"/>
  <c r="B17" i="27" l="1"/>
  <c r="J17" i="27" s="1"/>
  <c r="H16" i="27"/>
  <c r="B12" i="31"/>
  <c r="H17" i="27"/>
  <c r="B16" i="27"/>
  <c r="D16" i="27" s="1"/>
  <c r="D5" i="28"/>
  <c r="D3" i="28"/>
  <c r="D4" i="28"/>
  <c r="D6" i="28"/>
  <c r="D17" i="27"/>
  <c r="E14" i="27" s="1"/>
  <c r="F14" i="27" s="1"/>
  <c r="E15" i="27"/>
  <c r="F15" i="27" s="1"/>
  <c r="B7" i="26" a="1"/>
  <c r="J7" i="26" a="1"/>
  <c r="E3" i="25"/>
  <c r="F3" i="25"/>
  <c r="G3" i="25"/>
  <c r="E4" i="25"/>
  <c r="F4" i="25"/>
  <c r="G4" i="25"/>
  <c r="E5" i="25"/>
  <c r="F5" i="25"/>
  <c r="G5" i="25"/>
  <c r="E6" i="25"/>
  <c r="F6" i="25"/>
  <c r="G6" i="25"/>
  <c r="E7" i="25"/>
  <c r="F7" i="25"/>
  <c r="G7" i="25"/>
  <c r="E8" i="25"/>
  <c r="F8" i="25"/>
  <c r="G8" i="25"/>
  <c r="E9" i="25"/>
  <c r="F9" i="25"/>
  <c r="G9" i="25"/>
  <c r="E10" i="25"/>
  <c r="F10" i="25"/>
  <c r="G10" i="25"/>
  <c r="E11" i="25"/>
  <c r="F11" i="25"/>
  <c r="G11" i="25"/>
  <c r="B13" i="25" a="1"/>
  <c r="K14" i="27" l="1"/>
  <c r="K15" i="27"/>
  <c r="B13" i="31"/>
  <c r="J16" i="27"/>
  <c r="K16" i="27" s="1"/>
  <c r="K13" i="27"/>
  <c r="E16" i="27"/>
  <c r="F16" i="27" s="1"/>
  <c r="E13" i="27"/>
  <c r="F13" i="27" s="1"/>
  <c r="J7" i="26"/>
  <c r="J10" i="26"/>
  <c r="J9" i="26"/>
  <c r="J8" i="26"/>
  <c r="B8" i="26"/>
  <c r="C8" i="26"/>
  <c r="C9" i="26"/>
  <c r="D8" i="26"/>
  <c r="E8" i="26"/>
  <c r="B7" i="26"/>
  <c r="B10" i="26"/>
  <c r="C7" i="26"/>
  <c r="C10" i="26"/>
  <c r="D10" i="26"/>
  <c r="E7" i="26"/>
  <c r="E10" i="26"/>
  <c r="D7" i="26"/>
  <c r="B9" i="26"/>
  <c r="D9" i="26"/>
  <c r="E9" i="26"/>
  <c r="B18" i="25"/>
  <c r="D16" i="25" s="1"/>
  <c r="B13" i="25"/>
  <c r="B14" i="25"/>
  <c r="B15" i="25"/>
  <c r="D13" i="25" s="1"/>
  <c r="B16" i="25"/>
  <c r="D15" i="25" s="1"/>
  <c r="C16" i="25" s="1"/>
  <c r="B17" i="25"/>
  <c r="C15" i="25" s="1"/>
  <c r="S4" i="24"/>
  <c r="V4" i="24" s="1"/>
  <c r="V3" i="24"/>
  <c r="U3" i="24"/>
  <c r="T3" i="24"/>
  <c r="D3" i="24"/>
  <c r="E3" i="24"/>
  <c r="F3" i="24"/>
  <c r="L3" i="24"/>
  <c r="D4" i="24"/>
  <c r="E4" i="24"/>
  <c r="F4" i="24"/>
  <c r="L4" i="24"/>
  <c r="D5" i="24"/>
  <c r="E5" i="24"/>
  <c r="F5" i="24"/>
  <c r="L5" i="24"/>
  <c r="D6" i="24"/>
  <c r="E6" i="24"/>
  <c r="F6" i="24"/>
  <c r="L6" i="24"/>
  <c r="D7" i="24"/>
  <c r="E7" i="24"/>
  <c r="F7" i="24"/>
  <c r="L7" i="24"/>
  <c r="D8" i="24"/>
  <c r="E8" i="24"/>
  <c r="F8" i="24"/>
  <c r="L8" i="24"/>
  <c r="D9" i="24"/>
  <c r="E9" i="24"/>
  <c r="F9" i="24"/>
  <c r="L9" i="24"/>
  <c r="D10" i="24"/>
  <c r="E10" i="24"/>
  <c r="F10" i="24"/>
  <c r="L10" i="24"/>
  <c r="D11" i="24"/>
  <c r="E11" i="24"/>
  <c r="F11" i="24"/>
  <c r="L11" i="24"/>
  <c r="B13" i="24" a="1"/>
  <c r="B13" i="24" s="1"/>
  <c r="I3" i="25" a="1"/>
  <c r="E13" i="25" a="1"/>
  <c r="M13" i="24" a="1"/>
  <c r="I15" i="25" l="1" a="1"/>
  <c r="I15" i="25" s="1"/>
  <c r="B14" i="31"/>
  <c r="E14" i="25"/>
  <c r="E15" i="25"/>
  <c r="E13" i="25"/>
  <c r="G15" i="25" s="1"/>
  <c r="F13" i="25"/>
  <c r="H16" i="25" s="1"/>
  <c r="F14" i="25"/>
  <c r="F15" i="25"/>
  <c r="I5" i="25"/>
  <c r="I6" i="25"/>
  <c r="I7" i="25"/>
  <c r="I8" i="25"/>
  <c r="I4" i="25"/>
  <c r="I9" i="25"/>
  <c r="I10" i="25"/>
  <c r="I11" i="25"/>
  <c r="I3" i="25"/>
  <c r="A7" i="26" a="1"/>
  <c r="F7" i="26" a="1"/>
  <c r="C13" i="25"/>
  <c r="T4" i="24"/>
  <c r="U4" i="24"/>
  <c r="S5" i="24"/>
  <c r="M13" i="24"/>
  <c r="M3" i="24" s="1" a="1"/>
  <c r="M15" i="24"/>
  <c r="M14" i="24"/>
  <c r="M16" i="24"/>
  <c r="M17" i="24"/>
  <c r="F15" i="24"/>
  <c r="E16" i="24"/>
  <c r="D16" i="24"/>
  <c r="F17" i="24"/>
  <c r="E17" i="24"/>
  <c r="D17" i="24"/>
  <c r="E15" i="24"/>
  <c r="C17" i="24"/>
  <c r="F13" i="24"/>
  <c r="B15" i="24"/>
  <c r="E14" i="24"/>
  <c r="D13" i="24"/>
  <c r="F16" i="24"/>
  <c r="D14" i="24"/>
  <c r="C13" i="24"/>
  <c r="B14" i="24"/>
  <c r="D15" i="24"/>
  <c r="C15" i="24"/>
  <c r="C16" i="24"/>
  <c r="B16" i="24"/>
  <c r="B17" i="24"/>
  <c r="F14" i="24"/>
  <c r="E13" i="24"/>
  <c r="C14" i="24"/>
  <c r="D3" i="23"/>
  <c r="E3" i="23"/>
  <c r="F3" i="23"/>
  <c r="L3" i="23"/>
  <c r="T3" i="23"/>
  <c r="U3" i="23"/>
  <c r="V3" i="23"/>
  <c r="D4" i="23"/>
  <c r="E4" i="23"/>
  <c r="F4" i="23"/>
  <c r="L4" i="23"/>
  <c r="S4" i="23"/>
  <c r="S5" i="23" s="1"/>
  <c r="T4" i="23"/>
  <c r="U4" i="23"/>
  <c r="V4" i="23"/>
  <c r="D5" i="23"/>
  <c r="E5" i="23"/>
  <c r="F5" i="23"/>
  <c r="L5" i="23"/>
  <c r="D6" i="23"/>
  <c r="E6" i="23"/>
  <c r="F6" i="23"/>
  <c r="L6" i="23"/>
  <c r="D7" i="23"/>
  <c r="B13" i="23" s="1" a="1"/>
  <c r="E7" i="23"/>
  <c r="F7" i="23"/>
  <c r="L7" i="23"/>
  <c r="D8" i="23"/>
  <c r="E8" i="23"/>
  <c r="F8" i="23"/>
  <c r="L8" i="23"/>
  <c r="D9" i="23"/>
  <c r="E9" i="23"/>
  <c r="F9" i="23"/>
  <c r="L9" i="23"/>
  <c r="D10" i="23"/>
  <c r="E10" i="23"/>
  <c r="F10" i="23"/>
  <c r="L10" i="23"/>
  <c r="D11" i="23"/>
  <c r="E11" i="23"/>
  <c r="F11" i="23"/>
  <c r="L11" i="23"/>
  <c r="B19" i="24" a="1"/>
  <c r="M13" i="23" a="1"/>
  <c r="G13" i="25" l="1" a="1"/>
  <c r="H13" i="25" s="1"/>
  <c r="I16" i="25"/>
  <c r="I13" i="25" s="1" a="1"/>
  <c r="I13" i="25" s="1"/>
  <c r="B15" i="31"/>
  <c r="K3" i="25" a="1"/>
  <c r="F9" i="26"/>
  <c r="G9" i="26"/>
  <c r="H9" i="26"/>
  <c r="I9" i="26"/>
  <c r="H7" i="26"/>
  <c r="F8" i="26"/>
  <c r="G8" i="26"/>
  <c r="H8" i="26"/>
  <c r="I8" i="26"/>
  <c r="I7" i="26"/>
  <c r="F10" i="26"/>
  <c r="F7" i="26"/>
  <c r="G10" i="26"/>
  <c r="G7" i="26"/>
  <c r="H10" i="26"/>
  <c r="I10" i="26"/>
  <c r="A8" i="26"/>
  <c r="A7" i="26"/>
  <c r="A10" i="26"/>
  <c r="A9" i="26"/>
  <c r="V5" i="24"/>
  <c r="U5" i="24"/>
  <c r="S6" i="24"/>
  <c r="T5" i="24"/>
  <c r="C22" i="24"/>
  <c r="C21" i="24"/>
  <c r="C19" i="24"/>
  <c r="D20" i="24"/>
  <c r="D22" i="24"/>
  <c r="E23" i="24"/>
  <c r="D19" i="24"/>
  <c r="E20" i="24"/>
  <c r="B21" i="24"/>
  <c r="E19" i="24"/>
  <c r="D21" i="24"/>
  <c r="E21" i="24"/>
  <c r="F19" i="24"/>
  <c r="B22" i="24"/>
  <c r="D23" i="24"/>
  <c r="E22" i="24"/>
  <c r="F22" i="24"/>
  <c r="F23" i="24"/>
  <c r="B20" i="24"/>
  <c r="C23" i="24"/>
  <c r="F20" i="24"/>
  <c r="F21" i="24"/>
  <c r="B23" i="24"/>
  <c r="C20" i="24"/>
  <c r="B19" i="24"/>
  <c r="M6" i="24"/>
  <c r="O6" i="24" s="1"/>
  <c r="M10" i="24"/>
  <c r="O10" i="24" s="1"/>
  <c r="M7" i="24"/>
  <c r="O7" i="24" s="1"/>
  <c r="M5" i="24"/>
  <c r="O5" i="24" s="1"/>
  <c r="M9" i="24"/>
  <c r="O9" i="24" s="1"/>
  <c r="M11" i="24"/>
  <c r="O11" i="24" s="1"/>
  <c r="M4" i="24"/>
  <c r="O4" i="24" s="1"/>
  <c r="M8" i="24"/>
  <c r="O8" i="24" s="1"/>
  <c r="M3" i="24"/>
  <c r="O3" i="24" s="1"/>
  <c r="S6" i="23"/>
  <c r="V6" i="23" s="1"/>
  <c r="U5" i="23"/>
  <c r="B13" i="23"/>
  <c r="C13" i="23"/>
  <c r="E13" i="23"/>
  <c r="F13" i="23"/>
  <c r="D13" i="23"/>
  <c r="V5" i="23"/>
  <c r="T5" i="23"/>
  <c r="M13" i="23"/>
  <c r="B14" i="23"/>
  <c r="C14" i="23"/>
  <c r="D14" i="23"/>
  <c r="E14" i="23"/>
  <c r="F14" i="23"/>
  <c r="M14" i="23"/>
  <c r="B15" i="23"/>
  <c r="C15" i="23"/>
  <c r="D15" i="23"/>
  <c r="E15" i="23"/>
  <c r="F15" i="23"/>
  <c r="M15" i="23"/>
  <c r="B16" i="23"/>
  <c r="C16" i="23"/>
  <c r="D16" i="23"/>
  <c r="E16" i="23"/>
  <c r="F16" i="23"/>
  <c r="M16" i="23"/>
  <c r="B17" i="23"/>
  <c r="C17" i="23"/>
  <c r="D17" i="23"/>
  <c r="E17" i="23"/>
  <c r="F17" i="23"/>
  <c r="M17" i="23"/>
  <c r="B19" i="23" a="1"/>
  <c r="G13" i="25" l="1"/>
  <c r="B16" i="31"/>
  <c r="K11" i="25"/>
  <c r="L3" i="25"/>
  <c r="L7" i="25"/>
  <c r="K4" i="25"/>
  <c r="J4" i="25" s="1" a="1"/>
  <c r="J4" i="25" s="1"/>
  <c r="L11" i="25"/>
  <c r="K6" i="25"/>
  <c r="K3" i="25"/>
  <c r="K8" i="25"/>
  <c r="K10" i="25"/>
  <c r="L6" i="25"/>
  <c r="L8" i="25"/>
  <c r="J8" i="25" s="1" a="1"/>
  <c r="J8" i="25" s="1"/>
  <c r="L10" i="25"/>
  <c r="L5" i="25"/>
  <c r="L9" i="25"/>
  <c r="K5" i="25"/>
  <c r="K7" i="25"/>
  <c r="L4" i="25"/>
  <c r="K9" i="25"/>
  <c r="N13" i="24" a="1"/>
  <c r="N13" i="24" s="1"/>
  <c r="S7" i="24"/>
  <c r="V6" i="24"/>
  <c r="U6" i="24"/>
  <c r="T6" i="24"/>
  <c r="G3" i="24" a="1"/>
  <c r="G19" i="24" a="1"/>
  <c r="G13" i="24" a="1"/>
  <c r="U6" i="23"/>
  <c r="T6" i="23"/>
  <c r="S7" i="23"/>
  <c r="M3" i="23" a="1"/>
  <c r="V7" i="23"/>
  <c r="T7" i="23"/>
  <c r="U7" i="23"/>
  <c r="S8" i="23"/>
  <c r="B19" i="23"/>
  <c r="C19" i="23"/>
  <c r="D19" i="23"/>
  <c r="E19" i="23"/>
  <c r="F19" i="23"/>
  <c r="B20" i="23"/>
  <c r="C20" i="23"/>
  <c r="D20" i="23"/>
  <c r="E20" i="23"/>
  <c r="F20" i="23"/>
  <c r="B21" i="23"/>
  <c r="C21" i="23"/>
  <c r="D21" i="23"/>
  <c r="E21" i="23"/>
  <c r="F21" i="23"/>
  <c r="B22" i="23"/>
  <c r="C22" i="23"/>
  <c r="D22" i="23"/>
  <c r="E22" i="23"/>
  <c r="F22" i="23"/>
  <c r="B23" i="23"/>
  <c r="C23" i="23"/>
  <c r="D23" i="23"/>
  <c r="E23" i="23"/>
  <c r="F23" i="23"/>
  <c r="J9" i="25" l="1" a="1"/>
  <c r="J9" i="25" s="1"/>
  <c r="J11" i="25" a="1"/>
  <c r="J11" i="25" s="1"/>
  <c r="J7" i="25" a="1"/>
  <c r="J7" i="25" s="1"/>
  <c r="B17" i="31"/>
  <c r="J10" i="25" a="1"/>
  <c r="J10" i="25" s="1"/>
  <c r="J6" i="25" a="1"/>
  <c r="J6" i="25" s="1"/>
  <c r="N15" i="24"/>
  <c r="J5" i="25" a="1"/>
  <c r="J5" i="25" s="1"/>
  <c r="N14" i="24"/>
  <c r="N17" i="24"/>
  <c r="N16" i="24"/>
  <c r="V7" i="24"/>
  <c r="S8" i="24"/>
  <c r="U7" i="24"/>
  <c r="T7" i="24"/>
  <c r="I15" i="24"/>
  <c r="K17" i="24"/>
  <c r="I17" i="24"/>
  <c r="H13" i="24"/>
  <c r="I16" i="24"/>
  <c r="J16" i="24"/>
  <c r="G14" i="24"/>
  <c r="K15" i="24"/>
  <c r="H16" i="24"/>
  <c r="K16" i="24"/>
  <c r="H14" i="24"/>
  <c r="G15" i="24"/>
  <c r="K13" i="24"/>
  <c r="I13" i="24"/>
  <c r="J15" i="24"/>
  <c r="H15" i="24"/>
  <c r="G17" i="24"/>
  <c r="K14" i="24"/>
  <c r="G16" i="24"/>
  <c r="H17" i="24"/>
  <c r="J14" i="24"/>
  <c r="J17" i="24"/>
  <c r="J13" i="24"/>
  <c r="G13" i="24"/>
  <c r="I14" i="24"/>
  <c r="K20" i="24"/>
  <c r="K23" i="24"/>
  <c r="G20" i="24"/>
  <c r="K22" i="24"/>
  <c r="J20" i="24"/>
  <c r="K21" i="24"/>
  <c r="G23" i="24"/>
  <c r="G22" i="24"/>
  <c r="H23" i="24"/>
  <c r="G19" i="24"/>
  <c r="G21" i="24"/>
  <c r="H21" i="24"/>
  <c r="H22" i="24"/>
  <c r="I22" i="24"/>
  <c r="I23" i="24"/>
  <c r="J23" i="24"/>
  <c r="J22" i="24"/>
  <c r="I21" i="24"/>
  <c r="I20" i="24"/>
  <c r="I19" i="24"/>
  <c r="J19" i="24"/>
  <c r="H20" i="24"/>
  <c r="J21" i="24"/>
  <c r="K19" i="24"/>
  <c r="H19" i="24"/>
  <c r="J10" i="24"/>
  <c r="H3" i="24"/>
  <c r="K11" i="24"/>
  <c r="J8" i="24"/>
  <c r="H8" i="24"/>
  <c r="J7" i="24"/>
  <c r="G11" i="24"/>
  <c r="G4" i="24"/>
  <c r="J6" i="24"/>
  <c r="K6" i="24"/>
  <c r="K5" i="24"/>
  <c r="I3" i="24"/>
  <c r="G8" i="24"/>
  <c r="K4" i="24"/>
  <c r="G7" i="24"/>
  <c r="I5" i="24"/>
  <c r="H4" i="24"/>
  <c r="H11" i="24"/>
  <c r="K9" i="24"/>
  <c r="K8" i="24"/>
  <c r="J11" i="24"/>
  <c r="K10" i="24"/>
  <c r="G6" i="24"/>
  <c r="K7" i="24"/>
  <c r="G3" i="24"/>
  <c r="H6" i="24"/>
  <c r="I10" i="24"/>
  <c r="I4" i="24"/>
  <c r="J3" i="24"/>
  <c r="I8" i="24"/>
  <c r="K3" i="24"/>
  <c r="G9" i="24"/>
  <c r="H10" i="24"/>
  <c r="I7" i="24"/>
  <c r="J5" i="24"/>
  <c r="G5" i="24"/>
  <c r="I11" i="24"/>
  <c r="J9" i="24"/>
  <c r="G10" i="24"/>
  <c r="J4" i="24"/>
  <c r="I6" i="24"/>
  <c r="H9" i="24"/>
  <c r="H5" i="24"/>
  <c r="I9" i="24"/>
  <c r="H7" i="24"/>
  <c r="G19" i="23" a="1"/>
  <c r="J21" i="23" s="1"/>
  <c r="G3" i="23" a="1"/>
  <c r="G13" i="23" a="1"/>
  <c r="N13" i="23" a="1"/>
  <c r="U8" i="23"/>
  <c r="V8" i="23"/>
  <c r="S9" i="23"/>
  <c r="T8" i="23"/>
  <c r="M4" i="23"/>
  <c r="O4" i="23" s="1"/>
  <c r="M9" i="23"/>
  <c r="O9" i="23" s="1"/>
  <c r="M10" i="23"/>
  <c r="O10" i="23" s="1"/>
  <c r="M5" i="23"/>
  <c r="O5" i="23" s="1"/>
  <c r="M8" i="23"/>
  <c r="O8" i="23" s="1"/>
  <c r="M3" i="23"/>
  <c r="O3" i="23" s="1"/>
  <c r="M11" i="23"/>
  <c r="O11" i="23" s="1"/>
  <c r="M6" i="23"/>
  <c r="O6" i="23" s="1"/>
  <c r="M7" i="23"/>
  <c r="O7" i="23" s="1"/>
  <c r="F3" i="21"/>
  <c r="G3" i="21"/>
  <c r="H3" i="21"/>
  <c r="I3" i="21"/>
  <c r="J3" i="21"/>
  <c r="K3" i="21"/>
  <c r="F4" i="21"/>
  <c r="G4" i="21"/>
  <c r="H4" i="21"/>
  <c r="I4" i="21"/>
  <c r="J4" i="21"/>
  <c r="K4" i="21"/>
  <c r="F5" i="21"/>
  <c r="G5" i="21"/>
  <c r="H5" i="21"/>
  <c r="I5" i="21"/>
  <c r="J5" i="21"/>
  <c r="K5" i="21"/>
  <c r="F6" i="21"/>
  <c r="G6" i="21"/>
  <c r="H6" i="21"/>
  <c r="I6" i="21"/>
  <c r="J6" i="21"/>
  <c r="K6" i="21"/>
  <c r="F7" i="21"/>
  <c r="G7" i="21"/>
  <c r="H7" i="21"/>
  <c r="I7" i="21"/>
  <c r="J7" i="21"/>
  <c r="K7" i="21"/>
  <c r="F8" i="21"/>
  <c r="G8" i="21"/>
  <c r="H8" i="21"/>
  <c r="I8" i="21"/>
  <c r="J8" i="21"/>
  <c r="K8" i="21"/>
  <c r="F9" i="21"/>
  <c r="G9" i="21"/>
  <c r="H9" i="21"/>
  <c r="I9" i="21"/>
  <c r="J9" i="21"/>
  <c r="K9" i="21"/>
  <c r="F10" i="21"/>
  <c r="G10" i="21"/>
  <c r="H10" i="21"/>
  <c r="I10" i="21"/>
  <c r="J10" i="21"/>
  <c r="K10" i="21"/>
  <c r="F11" i="21"/>
  <c r="G11" i="21"/>
  <c r="H11" i="21"/>
  <c r="I11" i="21"/>
  <c r="J11" i="21"/>
  <c r="K11" i="21"/>
  <c r="F12" i="21"/>
  <c r="G12" i="21"/>
  <c r="H12" i="21"/>
  <c r="I12" i="21"/>
  <c r="J12" i="21"/>
  <c r="K12" i="21"/>
  <c r="F13" i="21"/>
  <c r="G13" i="21"/>
  <c r="H13" i="21"/>
  <c r="I13" i="21"/>
  <c r="J13" i="21"/>
  <c r="K13" i="21"/>
  <c r="F14" i="21"/>
  <c r="G14" i="21"/>
  <c r="H14" i="21"/>
  <c r="I14" i="21"/>
  <c r="J14" i="21"/>
  <c r="K14" i="21"/>
  <c r="F15" i="21"/>
  <c r="G15" i="21"/>
  <c r="H15" i="21"/>
  <c r="I15" i="21"/>
  <c r="J15" i="21"/>
  <c r="K15" i="21"/>
  <c r="F16" i="21"/>
  <c r="G16" i="21"/>
  <c r="H16" i="21"/>
  <c r="I16" i="21"/>
  <c r="J16" i="21"/>
  <c r="K16" i="21"/>
  <c r="F17" i="21"/>
  <c r="G17" i="21"/>
  <c r="H17" i="21"/>
  <c r="I17" i="21"/>
  <c r="J17" i="21"/>
  <c r="K17" i="21"/>
  <c r="F18" i="21"/>
  <c r="G18" i="21"/>
  <c r="H18" i="21"/>
  <c r="I18" i="21"/>
  <c r="J18" i="21"/>
  <c r="K18" i="21"/>
  <c r="B33" i="21" a="1"/>
  <c r="B33" i="21" s="1"/>
  <c r="B50" i="21"/>
  <c r="C50" i="21"/>
  <c r="Y20" i="21" a="1"/>
  <c r="I40" i="21" a="1"/>
  <c r="F37" i="21" a="1"/>
  <c r="C34" i="21" a="1"/>
  <c r="B18" i="31" l="1"/>
  <c r="S9" i="24"/>
  <c r="V8" i="24"/>
  <c r="U8" i="24"/>
  <c r="T8" i="24"/>
  <c r="N3" i="24" a="1"/>
  <c r="L19" i="24" a="1"/>
  <c r="H22" i="23"/>
  <c r="I22" i="23"/>
  <c r="K22" i="23"/>
  <c r="J22" i="23"/>
  <c r="H20" i="23"/>
  <c r="G20" i="23"/>
  <c r="G23" i="23"/>
  <c r="K23" i="23"/>
  <c r="G19" i="23"/>
  <c r="I19" i="23"/>
  <c r="K20" i="23"/>
  <c r="G22" i="23"/>
  <c r="K21" i="23"/>
  <c r="I21" i="23"/>
  <c r="J23" i="23"/>
  <c r="H21" i="23"/>
  <c r="H19" i="23"/>
  <c r="J20" i="23"/>
  <c r="H23" i="23"/>
  <c r="I20" i="23"/>
  <c r="K19" i="23"/>
  <c r="I23" i="23"/>
  <c r="G21" i="23"/>
  <c r="J19" i="23"/>
  <c r="G13" i="23"/>
  <c r="H13" i="23"/>
  <c r="K13" i="23"/>
  <c r="I13" i="23"/>
  <c r="J13" i="23"/>
  <c r="G14" i="23"/>
  <c r="K16" i="23"/>
  <c r="I14" i="23"/>
  <c r="G17" i="23"/>
  <c r="J14" i="23"/>
  <c r="H16" i="23"/>
  <c r="H14" i="23"/>
  <c r="I17" i="23"/>
  <c r="H17" i="23"/>
  <c r="K14" i="23"/>
  <c r="J17" i="23"/>
  <c r="J15" i="23"/>
  <c r="K15" i="23"/>
  <c r="G15" i="23"/>
  <c r="K17" i="23"/>
  <c r="I15" i="23"/>
  <c r="J16" i="23"/>
  <c r="H15" i="23"/>
  <c r="G16" i="23"/>
  <c r="I16" i="23"/>
  <c r="U9" i="23"/>
  <c r="V9" i="23"/>
  <c r="S10" i="23"/>
  <c r="T9" i="23"/>
  <c r="N13" i="23"/>
  <c r="N16" i="23"/>
  <c r="N15" i="23"/>
  <c r="N14" i="23"/>
  <c r="N17" i="23"/>
  <c r="J4" i="23"/>
  <c r="H7" i="23"/>
  <c r="J7" i="23"/>
  <c r="G5" i="23"/>
  <c r="K7" i="23"/>
  <c r="I10" i="23"/>
  <c r="J10" i="23"/>
  <c r="K4" i="23"/>
  <c r="I7" i="23"/>
  <c r="G10" i="23"/>
  <c r="K10" i="23"/>
  <c r="H10" i="23"/>
  <c r="G3" i="23"/>
  <c r="H5" i="23"/>
  <c r="I5" i="23"/>
  <c r="H3" i="23"/>
  <c r="I3" i="23"/>
  <c r="J5" i="23"/>
  <c r="H8" i="23"/>
  <c r="J8" i="23"/>
  <c r="H11" i="23"/>
  <c r="K8" i="23"/>
  <c r="I11" i="23"/>
  <c r="J3" i="23"/>
  <c r="K5" i="23"/>
  <c r="I8" i="23"/>
  <c r="G11" i="23"/>
  <c r="K3" i="23"/>
  <c r="G6" i="23"/>
  <c r="H6" i="23"/>
  <c r="J11" i="23"/>
  <c r="K11" i="23"/>
  <c r="J6" i="23"/>
  <c r="H9" i="23"/>
  <c r="J9" i="23"/>
  <c r="I6" i="23"/>
  <c r="G9" i="23"/>
  <c r="G4" i="23"/>
  <c r="K6" i="23"/>
  <c r="I9" i="23"/>
  <c r="I4" i="23"/>
  <c r="G7" i="23"/>
  <c r="K9" i="23"/>
  <c r="G8" i="23"/>
  <c r="H4" i="23"/>
  <c r="Y20" i="21"/>
  <c r="AB3" i="21" s="1" a="1"/>
  <c r="Y21" i="21"/>
  <c r="Y22" i="21"/>
  <c r="Y23" i="21"/>
  <c r="Y24" i="21"/>
  <c r="Y25" i="21"/>
  <c r="Y26" i="21"/>
  <c r="Y27" i="21"/>
  <c r="Y28" i="21"/>
  <c r="Y29" i="21"/>
  <c r="I40" i="21"/>
  <c r="J40" i="21"/>
  <c r="K40" i="21"/>
  <c r="I41" i="21"/>
  <c r="J41" i="21"/>
  <c r="K41" i="21"/>
  <c r="I42" i="21"/>
  <c r="J42" i="21"/>
  <c r="K42" i="21"/>
  <c r="F37" i="21"/>
  <c r="G37" i="21"/>
  <c r="H37" i="21"/>
  <c r="F38" i="21"/>
  <c r="G38" i="21"/>
  <c r="H38" i="21"/>
  <c r="F39" i="21"/>
  <c r="G39" i="21"/>
  <c r="H39" i="21"/>
  <c r="C34" i="21"/>
  <c r="D34" i="21"/>
  <c r="E34" i="21"/>
  <c r="E36" i="21"/>
  <c r="C35" i="21"/>
  <c r="D35" i="21"/>
  <c r="E35" i="21"/>
  <c r="C36" i="21"/>
  <c r="D36" i="21"/>
  <c r="B21" i="21" a="1"/>
  <c r="F3" i="20"/>
  <c r="K3" i="20"/>
  <c r="L3" i="20"/>
  <c r="O3" i="20" s="1"/>
  <c r="N3" i="20"/>
  <c r="F4" i="20"/>
  <c r="K4" i="20"/>
  <c r="L4" i="20"/>
  <c r="O4" i="20" s="1"/>
  <c r="N4" i="20"/>
  <c r="F5" i="20"/>
  <c r="K5" i="20"/>
  <c r="N5" i="20" s="1"/>
  <c r="L5" i="20"/>
  <c r="M5" i="20"/>
  <c r="O5" i="20"/>
  <c r="F6" i="20"/>
  <c r="K6" i="20"/>
  <c r="L6" i="20"/>
  <c r="O6" i="20" s="1"/>
  <c r="F7" i="20"/>
  <c r="K7" i="20"/>
  <c r="L7" i="20"/>
  <c r="M7" i="20" s="1"/>
  <c r="N7" i="20"/>
  <c r="F8" i="20"/>
  <c r="K8" i="20"/>
  <c r="L8" i="20"/>
  <c r="M8" i="20" s="1"/>
  <c r="N8" i="20"/>
  <c r="O8" i="20"/>
  <c r="F9" i="20"/>
  <c r="K9" i="20"/>
  <c r="L9" i="20"/>
  <c r="O9" i="20"/>
  <c r="F10" i="20"/>
  <c r="K10" i="20"/>
  <c r="N10" i="20" s="1"/>
  <c r="L10" i="20"/>
  <c r="O10" i="20" s="1"/>
  <c r="F11" i="20"/>
  <c r="K11" i="20"/>
  <c r="N11" i="20" s="1"/>
  <c r="L11" i="20"/>
  <c r="O11" i="20" s="1"/>
  <c r="F12" i="20"/>
  <c r="F13" i="20" s="1"/>
  <c r="F14" i="20" s="1"/>
  <c r="K12" i="20"/>
  <c r="L12" i="20"/>
  <c r="O12" i="20" s="1"/>
  <c r="N12" i="20"/>
  <c r="K13" i="20"/>
  <c r="M13" i="20" s="1"/>
  <c r="L13" i="20"/>
  <c r="N13" i="20"/>
  <c r="O13" i="20"/>
  <c r="K14" i="20"/>
  <c r="L14" i="20"/>
  <c r="O14" i="20" s="1"/>
  <c r="F15" i="20"/>
  <c r="K15" i="20"/>
  <c r="N15" i="20" s="1"/>
  <c r="L15" i="20"/>
  <c r="O15" i="20" s="1"/>
  <c r="F16" i="20"/>
  <c r="K16" i="20"/>
  <c r="N16" i="20" s="1"/>
  <c r="L16" i="20"/>
  <c r="M16" i="20" s="1"/>
  <c r="O16" i="20"/>
  <c r="F17" i="20"/>
  <c r="K17" i="20"/>
  <c r="L17" i="20"/>
  <c r="M17" i="20" s="1"/>
  <c r="N17" i="20"/>
  <c r="F18" i="20"/>
  <c r="K18" i="20"/>
  <c r="M18" i="20" s="1"/>
  <c r="L18" i="20"/>
  <c r="O18" i="20"/>
  <c r="F19" i="20"/>
  <c r="K19" i="20"/>
  <c r="L19" i="20"/>
  <c r="O19" i="20" s="1"/>
  <c r="N19" i="20"/>
  <c r="F20" i="20"/>
  <c r="K20" i="20"/>
  <c r="N20" i="20" s="1"/>
  <c r="L20" i="20"/>
  <c r="M20" i="20"/>
  <c r="O20" i="20"/>
  <c r="F21" i="20"/>
  <c r="K21" i="20"/>
  <c r="L21" i="20"/>
  <c r="O21" i="20" s="1"/>
  <c r="F22" i="20"/>
  <c r="K22" i="20"/>
  <c r="L22" i="20"/>
  <c r="O22" i="20" s="1"/>
  <c r="N22" i="20"/>
  <c r="F23" i="20"/>
  <c r="K23" i="20"/>
  <c r="N23" i="20" s="1"/>
  <c r="L23" i="20"/>
  <c r="M23" i="20" s="1"/>
  <c r="O23" i="20"/>
  <c r="U23" i="20"/>
  <c r="F24" i="20"/>
  <c r="K24" i="20"/>
  <c r="N24" i="20" s="1"/>
  <c r="L24" i="20"/>
  <c r="M24" i="20" s="1"/>
  <c r="O24" i="20"/>
  <c r="F25" i="20"/>
  <c r="F26" i="20" s="1"/>
  <c r="K25" i="20"/>
  <c r="L25" i="20"/>
  <c r="M25" i="20" s="1"/>
  <c r="N25" i="20"/>
  <c r="O25" i="20"/>
  <c r="K26" i="20"/>
  <c r="M26" i="20" s="1"/>
  <c r="L26" i="20"/>
  <c r="O26" i="20" s="1"/>
  <c r="F27" i="20"/>
  <c r="K27" i="20"/>
  <c r="L27" i="20"/>
  <c r="M27" i="20"/>
  <c r="N27" i="20"/>
  <c r="O27" i="20"/>
  <c r="F28" i="20"/>
  <c r="K28" i="20"/>
  <c r="N28" i="20" s="1"/>
  <c r="L28" i="20"/>
  <c r="O28" i="20" s="1"/>
  <c r="M28" i="20"/>
  <c r="F29" i="20"/>
  <c r="K29" i="20"/>
  <c r="L29" i="20"/>
  <c r="M29" i="20" s="1"/>
  <c r="N29" i="20"/>
  <c r="F30" i="20"/>
  <c r="K30" i="20"/>
  <c r="N30" i="20" s="1"/>
  <c r="L30" i="20"/>
  <c r="M30" i="20" s="1"/>
  <c r="O30" i="20"/>
  <c r="F31" i="20"/>
  <c r="K31" i="20"/>
  <c r="N31" i="20" s="1"/>
  <c r="L31" i="20"/>
  <c r="O31" i="20"/>
  <c r="F32" i="20"/>
  <c r="K32" i="20"/>
  <c r="M32" i="20" s="1"/>
  <c r="L32" i="20"/>
  <c r="O32" i="20"/>
  <c r="F33" i="20"/>
  <c r="K33" i="20"/>
  <c r="N33" i="20" s="1"/>
  <c r="L33" i="20"/>
  <c r="O33" i="20" s="1"/>
  <c r="F34" i="20"/>
  <c r="K34" i="20"/>
  <c r="N34" i="20" s="1"/>
  <c r="L34" i="20"/>
  <c r="M34" i="20"/>
  <c r="O34" i="20"/>
  <c r="R34" i="20"/>
  <c r="F35" i="20"/>
  <c r="F36" i="20" s="1"/>
  <c r="F37" i="20" s="1"/>
  <c r="F38" i="20" s="1"/>
  <c r="K35" i="20"/>
  <c r="L35" i="20"/>
  <c r="O35" i="20" s="1"/>
  <c r="M35" i="20"/>
  <c r="N35" i="20"/>
  <c r="R35" i="20"/>
  <c r="K36" i="20"/>
  <c r="L36" i="20"/>
  <c r="M36" i="20"/>
  <c r="N36" i="20"/>
  <c r="O36" i="20"/>
  <c r="Q36" i="20"/>
  <c r="S36" i="20" s="1"/>
  <c r="R36" i="20"/>
  <c r="K37" i="20"/>
  <c r="L37" i="20"/>
  <c r="N37" i="20"/>
  <c r="O37" i="20"/>
  <c r="R37" i="20"/>
  <c r="K38" i="20"/>
  <c r="N38" i="20" s="1"/>
  <c r="L38" i="20"/>
  <c r="O38" i="20"/>
  <c r="B19" i="31" l="1"/>
  <c r="S10" i="24"/>
  <c r="V9" i="24"/>
  <c r="U9" i="24"/>
  <c r="T9" i="24"/>
  <c r="L20" i="24"/>
  <c r="P20" i="24"/>
  <c r="N19" i="24"/>
  <c r="O21" i="24"/>
  <c r="L21" i="24"/>
  <c r="P22" i="24"/>
  <c r="N23" i="24"/>
  <c r="M21" i="24"/>
  <c r="O19" i="24"/>
  <c r="L23" i="24"/>
  <c r="M23" i="24"/>
  <c r="P19" i="24"/>
  <c r="L19" i="24"/>
  <c r="P23" i="24"/>
  <c r="M22" i="24"/>
  <c r="O23" i="24"/>
  <c r="O22" i="24"/>
  <c r="N20" i="24"/>
  <c r="N21" i="24"/>
  <c r="L22" i="24"/>
  <c r="O20" i="24"/>
  <c r="N22" i="24"/>
  <c r="M20" i="24"/>
  <c r="P21" i="24"/>
  <c r="M19" i="24"/>
  <c r="N6" i="24"/>
  <c r="N5" i="24"/>
  <c r="N9" i="24"/>
  <c r="N10" i="24"/>
  <c r="N7" i="24"/>
  <c r="N8" i="24"/>
  <c r="N11" i="24"/>
  <c r="N3" i="24"/>
  <c r="N4" i="24"/>
  <c r="S11" i="23"/>
  <c r="T10" i="23"/>
  <c r="U10" i="23"/>
  <c r="V10" i="23"/>
  <c r="N3" i="23" a="1"/>
  <c r="L19" i="23" a="1"/>
  <c r="AD3" i="21" a="1"/>
  <c r="AD15" i="21" s="1"/>
  <c r="AC3" i="21" a="1"/>
  <c r="AC7" i="21" s="1"/>
  <c r="AE3" i="21" a="1"/>
  <c r="AE3" i="21" s="1"/>
  <c r="AB3" i="21"/>
  <c r="AB4" i="21"/>
  <c r="AB5" i="21"/>
  <c r="AB6" i="21"/>
  <c r="AB7" i="21"/>
  <c r="AB8" i="21"/>
  <c r="AB10" i="21"/>
  <c r="AB14" i="21"/>
  <c r="AB16" i="21"/>
  <c r="AB18" i="21"/>
  <c r="AB9" i="21"/>
  <c r="AB15" i="21"/>
  <c r="AB17" i="21"/>
  <c r="AB11" i="21"/>
  <c r="AB12" i="21"/>
  <c r="AB13" i="21"/>
  <c r="E21" i="21"/>
  <c r="C23" i="21"/>
  <c r="J24" i="21"/>
  <c r="E25" i="21"/>
  <c r="H27" i="21"/>
  <c r="D28" i="21"/>
  <c r="F21" i="21"/>
  <c r="D23" i="21"/>
  <c r="K24" i="21"/>
  <c r="F25" i="21"/>
  <c r="I27" i="21"/>
  <c r="E28" i="21"/>
  <c r="G21" i="21"/>
  <c r="E23" i="21"/>
  <c r="I21" i="21"/>
  <c r="G23" i="21"/>
  <c r="I25" i="21"/>
  <c r="H28" i="21"/>
  <c r="D29" i="21"/>
  <c r="C30" i="21"/>
  <c r="K21" i="21"/>
  <c r="C22" i="21"/>
  <c r="I23" i="21"/>
  <c r="K25" i="21"/>
  <c r="B26" i="21"/>
  <c r="J28" i="21"/>
  <c r="F29" i="21"/>
  <c r="E30" i="21"/>
  <c r="D22" i="21"/>
  <c r="J23" i="21"/>
  <c r="F22" i="21"/>
  <c r="C24" i="21"/>
  <c r="E26" i="21"/>
  <c r="H22" i="21"/>
  <c r="E24" i="21"/>
  <c r="G26" i="21"/>
  <c r="C27" i="21"/>
  <c r="K29" i="21"/>
  <c r="J30" i="21"/>
  <c r="I22" i="21"/>
  <c r="F24" i="21"/>
  <c r="H26" i="21"/>
  <c r="D21" i="21"/>
  <c r="B23" i="21"/>
  <c r="I24" i="21"/>
  <c r="D25" i="21"/>
  <c r="K26" i="21"/>
  <c r="G27" i="21"/>
  <c r="C28" i="21"/>
  <c r="B21" i="21"/>
  <c r="G22" i="21"/>
  <c r="H23" i="21"/>
  <c r="H24" i="21"/>
  <c r="F26" i="21"/>
  <c r="B27" i="21"/>
  <c r="F30" i="21"/>
  <c r="F27" i="21"/>
  <c r="C21" i="21"/>
  <c r="J22" i="21"/>
  <c r="K23" i="21"/>
  <c r="I26" i="21"/>
  <c r="D27" i="21"/>
  <c r="G30" i="21"/>
  <c r="D26" i="21"/>
  <c r="H21" i="21"/>
  <c r="K22" i="21"/>
  <c r="J26" i="21"/>
  <c r="E27" i="21"/>
  <c r="H30" i="21"/>
  <c r="I30" i="21"/>
  <c r="J29" i="21"/>
  <c r="J21" i="21"/>
  <c r="J27" i="21"/>
  <c r="K30" i="21"/>
  <c r="K27" i="21"/>
  <c r="K28" i="21"/>
  <c r="C25" i="21"/>
  <c r="B28" i="21"/>
  <c r="F28" i="21"/>
  <c r="B29" i="21"/>
  <c r="G28" i="21"/>
  <c r="I28" i="21"/>
  <c r="C29" i="21"/>
  <c r="G29" i="21"/>
  <c r="F23" i="21"/>
  <c r="B25" i="21"/>
  <c r="E29" i="21"/>
  <c r="J25" i="21"/>
  <c r="D30" i="21"/>
  <c r="B24" i="21"/>
  <c r="G25" i="21"/>
  <c r="H29" i="21"/>
  <c r="B22" i="21"/>
  <c r="D24" i="21"/>
  <c r="H25" i="21"/>
  <c r="C26" i="21"/>
  <c r="I29" i="21"/>
  <c r="B30" i="21"/>
  <c r="E22" i="21"/>
  <c r="G24" i="21"/>
  <c r="Y3" i="21" a="1"/>
  <c r="C48" i="21"/>
  <c r="C49" i="21"/>
  <c r="M21" i="20"/>
  <c r="M9" i="20"/>
  <c r="O29" i="20"/>
  <c r="M19" i="20"/>
  <c r="M12" i="20"/>
  <c r="M4" i="20"/>
  <c r="M6" i="20"/>
  <c r="Q38" i="20"/>
  <c r="S38" i="20" s="1"/>
  <c r="U38" i="20" s="1"/>
  <c r="M37" i="20"/>
  <c r="M15" i="20"/>
  <c r="M22" i="20"/>
  <c r="M3" i="20"/>
  <c r="Q13" i="20" s="1" a="1"/>
  <c r="M14" i="20"/>
  <c r="M38" i="20"/>
  <c r="N21" i="20"/>
  <c r="N14" i="20"/>
  <c r="M33" i="20"/>
  <c r="M10" i="20"/>
  <c r="M11" i="20"/>
  <c r="O17" i="20"/>
  <c r="N18" i="20"/>
  <c r="N32" i="20"/>
  <c r="O7" i="20"/>
  <c r="N6" i="20"/>
  <c r="M31" i="20"/>
  <c r="Q3" i="20" s="1" a="1"/>
  <c r="N26" i="20"/>
  <c r="N9" i="20"/>
  <c r="P3" i="19"/>
  <c r="P4" i="19"/>
  <c r="P5" i="19"/>
  <c r="P6" i="19"/>
  <c r="P7" i="19"/>
  <c r="P8" i="19"/>
  <c r="P9" i="19"/>
  <c r="P10" i="19"/>
  <c r="B11" i="19"/>
  <c r="C11" i="19"/>
  <c r="D11" i="19"/>
  <c r="E11" i="19"/>
  <c r="B12" i="19"/>
  <c r="G10" i="19" s="1"/>
  <c r="C12" i="19"/>
  <c r="H5" i="19" s="1"/>
  <c r="D12" i="19"/>
  <c r="I5" i="19" s="1"/>
  <c r="S5" i="19" s="1"/>
  <c r="E12" i="19"/>
  <c r="E3" i="18"/>
  <c r="F3" i="18" s="1"/>
  <c r="G3" i="18" s="1"/>
  <c r="E4" i="18"/>
  <c r="F4" i="18" s="1"/>
  <c r="G4" i="18" s="1"/>
  <c r="E5" i="18"/>
  <c r="F5" i="18" s="1"/>
  <c r="G5" i="18" s="1"/>
  <c r="E6" i="18"/>
  <c r="F6" i="18" s="1"/>
  <c r="G6" i="18" s="1"/>
  <c r="E7" i="18"/>
  <c r="F7" i="18" s="1"/>
  <c r="G7" i="18" s="1"/>
  <c r="E8" i="18"/>
  <c r="F8" i="18" s="1"/>
  <c r="G8" i="18" s="1"/>
  <c r="E9" i="18"/>
  <c r="F9" i="18" s="1"/>
  <c r="G9" i="18" s="1"/>
  <c r="C10" i="18"/>
  <c r="F3" i="17"/>
  <c r="G3" i="17"/>
  <c r="K3" i="17" s="1"/>
  <c r="H3" i="17"/>
  <c r="I3" i="17"/>
  <c r="L3" i="17"/>
  <c r="N3" i="17"/>
  <c r="P3" i="17"/>
  <c r="Q3" i="17"/>
  <c r="R3" i="17"/>
  <c r="AB3" i="17" s="1"/>
  <c r="S3" i="17"/>
  <c r="AD3" i="17" s="1"/>
  <c r="T3" i="17"/>
  <c r="U3" i="17"/>
  <c r="AE3" i="17" s="1"/>
  <c r="V3" i="17"/>
  <c r="Y3" i="17"/>
  <c r="AG3" i="17"/>
  <c r="F4" i="17"/>
  <c r="J4" i="17" s="1"/>
  <c r="W4" i="17" s="1"/>
  <c r="G4" i="17"/>
  <c r="K4" i="17" s="1"/>
  <c r="H4" i="17"/>
  <c r="R4" i="17" s="1"/>
  <c r="I4" i="17"/>
  <c r="L4" i="17"/>
  <c r="F5" i="17"/>
  <c r="O5" i="17" s="1"/>
  <c r="G5" i="17"/>
  <c r="P5" i="17" s="1"/>
  <c r="H5" i="17"/>
  <c r="R5" i="17" s="1"/>
  <c r="I5" i="17"/>
  <c r="L5" i="17"/>
  <c r="Y5" i="17" s="1"/>
  <c r="M5" i="17"/>
  <c r="Z5" i="17" s="1"/>
  <c r="N5" i="17"/>
  <c r="F6" i="17"/>
  <c r="G6" i="17"/>
  <c r="H6" i="17"/>
  <c r="R6" i="17" s="1"/>
  <c r="I6" i="17"/>
  <c r="L6" i="17"/>
  <c r="F7" i="17"/>
  <c r="X7" i="17" s="1"/>
  <c r="G7" i="17"/>
  <c r="K7" i="17" s="1"/>
  <c r="H7" i="17"/>
  <c r="I7" i="17"/>
  <c r="L7" i="17"/>
  <c r="P7" i="17"/>
  <c r="R7" i="17"/>
  <c r="AC7" i="17" s="1"/>
  <c r="T7" i="17"/>
  <c r="V7" i="17"/>
  <c r="Y7" i="17"/>
  <c r="F8" i="17"/>
  <c r="J8" i="17" s="1"/>
  <c r="W8" i="17" s="1"/>
  <c r="G8" i="17"/>
  <c r="K8" i="17" s="1"/>
  <c r="H8" i="17"/>
  <c r="R8" i="17" s="1"/>
  <c r="I8" i="17"/>
  <c r="L8" i="17"/>
  <c r="F9" i="17"/>
  <c r="O9" i="17" s="1"/>
  <c r="G9" i="17"/>
  <c r="P9" i="17" s="1"/>
  <c r="H9" i="17"/>
  <c r="R9" i="17" s="1"/>
  <c r="I9" i="17"/>
  <c r="U9" i="17" s="1"/>
  <c r="AE9" i="17" s="1"/>
  <c r="L9" i="17"/>
  <c r="X9" i="17" s="1"/>
  <c r="AF9" i="17" s="1"/>
  <c r="M9" i="17"/>
  <c r="Z9" i="17" s="1"/>
  <c r="N9" i="17"/>
  <c r="AG9" i="17"/>
  <c r="F10" i="17"/>
  <c r="G10" i="17"/>
  <c r="K10" i="17" s="1"/>
  <c r="H10" i="17"/>
  <c r="T10" i="17" s="1"/>
  <c r="I10" i="17"/>
  <c r="V10" i="17" s="1"/>
  <c r="L10" i="17"/>
  <c r="B20" i="31" l="1"/>
  <c r="V10" i="24"/>
  <c r="S11" i="24"/>
  <c r="U10" i="24"/>
  <c r="T10" i="24"/>
  <c r="M19" i="23"/>
  <c r="M22" i="23"/>
  <c r="L19" i="23"/>
  <c r="M20" i="23"/>
  <c r="N19" i="23"/>
  <c r="L21" i="23"/>
  <c r="O19" i="23"/>
  <c r="M21" i="23"/>
  <c r="P19" i="23"/>
  <c r="N21" i="23"/>
  <c r="L23" i="23"/>
  <c r="O21" i="23"/>
  <c r="M23" i="23"/>
  <c r="N23" i="23"/>
  <c r="O23" i="23"/>
  <c r="P23" i="23"/>
  <c r="L20" i="23"/>
  <c r="P21" i="23"/>
  <c r="L22" i="23"/>
  <c r="P20" i="23"/>
  <c r="N22" i="23"/>
  <c r="O22" i="23"/>
  <c r="P22" i="23"/>
  <c r="N20" i="23"/>
  <c r="O20" i="23"/>
  <c r="N6" i="23"/>
  <c r="N9" i="23"/>
  <c r="N4" i="23"/>
  <c r="N7" i="23"/>
  <c r="N10" i="23"/>
  <c r="N8" i="23"/>
  <c r="N5" i="23"/>
  <c r="N11" i="23"/>
  <c r="N3" i="23"/>
  <c r="U11" i="23"/>
  <c r="V11" i="23"/>
  <c r="T11" i="23"/>
  <c r="S12" i="23"/>
  <c r="AD11" i="21"/>
  <c r="AC13" i="21"/>
  <c r="AD12" i="21"/>
  <c r="AC5" i="21"/>
  <c r="AD13" i="21"/>
  <c r="AC16" i="21"/>
  <c r="AD9" i="21"/>
  <c r="AC11" i="21"/>
  <c r="AD16" i="21"/>
  <c r="AD7" i="21"/>
  <c r="AC9" i="21"/>
  <c r="AD5" i="21"/>
  <c r="AC6" i="21"/>
  <c r="AD3" i="21"/>
  <c r="AC17" i="21"/>
  <c r="AD4" i="21"/>
  <c r="AC15" i="21"/>
  <c r="AC14" i="21"/>
  <c r="AC12" i="21"/>
  <c r="AC10" i="21"/>
  <c r="AD18" i="21"/>
  <c r="AC8" i="21"/>
  <c r="AD17" i="21"/>
  <c r="AC4" i="21"/>
  <c r="AD10" i="21"/>
  <c r="AC3" i="21"/>
  <c r="AD6" i="21"/>
  <c r="AC18" i="21"/>
  <c r="AD14" i="21"/>
  <c r="AD8" i="21"/>
  <c r="AE11" i="21"/>
  <c r="AE15" i="21"/>
  <c r="AE9" i="21"/>
  <c r="AE7" i="21"/>
  <c r="AE5" i="21"/>
  <c r="AE13" i="21"/>
  <c r="AE18" i="21"/>
  <c r="AE16" i="21"/>
  <c r="AE14" i="21"/>
  <c r="AE12" i="21"/>
  <c r="AE10" i="21"/>
  <c r="AE8" i="21"/>
  <c r="AE4" i="21"/>
  <c r="AE6" i="21"/>
  <c r="AE17" i="21"/>
  <c r="X20" i="21" a="1"/>
  <c r="X21" i="21" s="1"/>
  <c r="M33" i="21" a="1"/>
  <c r="Y4" i="21"/>
  <c r="Y6" i="21"/>
  <c r="Y8" i="21"/>
  <c r="Y10" i="21"/>
  <c r="Y12" i="21"/>
  <c r="Y14" i="21"/>
  <c r="Y16" i="21"/>
  <c r="Y18" i="21"/>
  <c r="Y3" i="21"/>
  <c r="Y5" i="21"/>
  <c r="Y7" i="21"/>
  <c r="Y9" i="21"/>
  <c r="Y11" i="21"/>
  <c r="Y13" i="21"/>
  <c r="Y15" i="21"/>
  <c r="Y17" i="21"/>
  <c r="V23" i="20" a="1"/>
  <c r="V28" i="20" s="1"/>
  <c r="X3" i="20"/>
  <c r="X6" i="20"/>
  <c r="Q10" i="20"/>
  <c r="U3" i="20"/>
  <c r="Q9" i="20"/>
  <c r="R10" i="20"/>
  <c r="V4" i="20"/>
  <c r="Q8" i="20"/>
  <c r="R9" i="20"/>
  <c r="S10" i="20"/>
  <c r="Q7" i="20"/>
  <c r="R8" i="20"/>
  <c r="S9" i="20"/>
  <c r="T10" i="20"/>
  <c r="Q6" i="20"/>
  <c r="R7" i="20"/>
  <c r="S8" i="20"/>
  <c r="T9" i="20"/>
  <c r="U10" i="20"/>
  <c r="Q5" i="20"/>
  <c r="R6" i="20"/>
  <c r="S7" i="20"/>
  <c r="T8" i="20"/>
  <c r="U9" i="20"/>
  <c r="V10" i="20"/>
  <c r="Q4" i="20"/>
  <c r="R5" i="20"/>
  <c r="S6" i="20"/>
  <c r="T7" i="20"/>
  <c r="U8" i="20"/>
  <c r="V9" i="20"/>
  <c r="W10" i="20"/>
  <c r="W5" i="20"/>
  <c r="Q3" i="20"/>
  <c r="R4" i="20"/>
  <c r="S5" i="20"/>
  <c r="T6" i="20"/>
  <c r="U7" i="20"/>
  <c r="V8" i="20"/>
  <c r="W9" i="20"/>
  <c r="X10" i="20"/>
  <c r="R3" i="20"/>
  <c r="S4" i="20"/>
  <c r="T5" i="20"/>
  <c r="U6" i="20"/>
  <c r="V7" i="20"/>
  <c r="W8" i="20"/>
  <c r="X9" i="20"/>
  <c r="S3" i="20"/>
  <c r="T4" i="20"/>
  <c r="U5" i="20"/>
  <c r="V6" i="20"/>
  <c r="W7" i="20"/>
  <c r="X8" i="20"/>
  <c r="T3" i="20"/>
  <c r="U4" i="20"/>
  <c r="V5" i="20"/>
  <c r="W6" i="20"/>
  <c r="X7" i="20"/>
  <c r="V3" i="20"/>
  <c r="W4" i="20"/>
  <c r="X5" i="20"/>
  <c r="W3" i="20"/>
  <c r="X4" i="20"/>
  <c r="Q13" i="20"/>
  <c r="R14" i="20"/>
  <c r="S15" i="20"/>
  <c r="T16" i="20"/>
  <c r="U17" i="20"/>
  <c r="V18" i="20"/>
  <c r="W19" i="20"/>
  <c r="X20" i="20"/>
  <c r="R13" i="20"/>
  <c r="S14" i="20"/>
  <c r="T15" i="20"/>
  <c r="U16" i="20"/>
  <c r="V17" i="20"/>
  <c r="W18" i="20"/>
  <c r="X19" i="20"/>
  <c r="Q16" i="20"/>
  <c r="T19" i="20"/>
  <c r="U20" i="20"/>
  <c r="S13" i="20"/>
  <c r="T14" i="20"/>
  <c r="U15" i="20"/>
  <c r="V16" i="20"/>
  <c r="W17" i="20"/>
  <c r="X18" i="20"/>
  <c r="T13" i="20"/>
  <c r="U14" i="20"/>
  <c r="V15" i="20"/>
  <c r="W16" i="20"/>
  <c r="X17" i="20"/>
  <c r="U13" i="20"/>
  <c r="V14" i="20"/>
  <c r="W15" i="20"/>
  <c r="X16" i="20"/>
  <c r="V13" i="20"/>
  <c r="W14" i="20"/>
  <c r="X15" i="20"/>
  <c r="W13" i="20"/>
  <c r="X14" i="20"/>
  <c r="X13" i="20"/>
  <c r="S18" i="20"/>
  <c r="R17" i="20"/>
  <c r="Q20" i="20"/>
  <c r="Q19" i="20"/>
  <c r="R20" i="20"/>
  <c r="Q18" i="20"/>
  <c r="R19" i="20"/>
  <c r="S20" i="20"/>
  <c r="Q17" i="20"/>
  <c r="R18" i="20"/>
  <c r="S19" i="20"/>
  <c r="T20" i="20"/>
  <c r="Q15" i="20"/>
  <c r="R16" i="20"/>
  <c r="S17" i="20"/>
  <c r="T18" i="20"/>
  <c r="U19" i="20"/>
  <c r="V20" i="20"/>
  <c r="Q14" i="20"/>
  <c r="R15" i="20"/>
  <c r="S16" i="20"/>
  <c r="T17" i="20"/>
  <c r="U18" i="20"/>
  <c r="V19" i="20"/>
  <c r="W20" i="20"/>
  <c r="I8" i="19"/>
  <c r="S8" i="19" s="1"/>
  <c r="G3" i="19"/>
  <c r="Q3" i="19" s="1"/>
  <c r="H4" i="19"/>
  <c r="G4" i="19"/>
  <c r="J4" i="19" s="1"/>
  <c r="Q10" i="19"/>
  <c r="R4" i="19"/>
  <c r="L5" i="19"/>
  <c r="R5" i="19"/>
  <c r="H10" i="19"/>
  <c r="J10" i="19" s="1"/>
  <c r="H6" i="19"/>
  <c r="I6" i="19"/>
  <c r="S6" i="19" s="1"/>
  <c r="I7" i="19"/>
  <c r="S7" i="19" s="1"/>
  <c r="G6" i="19"/>
  <c r="H7" i="19"/>
  <c r="G7" i="19"/>
  <c r="G5" i="19"/>
  <c r="H8" i="19"/>
  <c r="I9" i="19"/>
  <c r="S9" i="19" s="1"/>
  <c r="I10" i="19"/>
  <c r="S10" i="19" s="1"/>
  <c r="H9" i="19"/>
  <c r="I3" i="19"/>
  <c r="S3" i="19" s="1"/>
  <c r="G8" i="19"/>
  <c r="I4" i="19"/>
  <c r="S4" i="19" s="1"/>
  <c r="H3" i="19"/>
  <c r="G9" i="19"/>
  <c r="T6" i="17"/>
  <c r="K5" i="17"/>
  <c r="K9" i="17"/>
  <c r="N7" i="17"/>
  <c r="J9" i="17"/>
  <c r="W9" i="17" s="1"/>
  <c r="S10" i="17"/>
  <c r="AD10" i="17" s="1"/>
  <c r="R10" i="17"/>
  <c r="AC10" i="17" s="1"/>
  <c r="P10" i="17"/>
  <c r="AF7" i="17"/>
  <c r="X8" i="17"/>
  <c r="AF8" i="17" s="1"/>
  <c r="S6" i="17"/>
  <c r="AA5" i="17"/>
  <c r="N10" i="17"/>
  <c r="AA9" i="17"/>
  <c r="S7" i="17"/>
  <c r="AD7" i="17" s="1"/>
  <c r="AD6" i="17"/>
  <c r="AC6" i="17"/>
  <c r="Y6" i="17"/>
  <c r="U7" i="17"/>
  <c r="AE7" i="17" s="1"/>
  <c r="U5" i="17"/>
  <c r="AE5" i="17" s="1"/>
  <c r="O6" i="17"/>
  <c r="AA6" i="17" s="1"/>
  <c r="AG6" i="17"/>
  <c r="AB10" i="17"/>
  <c r="O10" i="17"/>
  <c r="AA10" i="17" s="1"/>
  <c r="P6" i="17"/>
  <c r="M10" i="17"/>
  <c r="Z10" i="17" s="1"/>
  <c r="Q7" i="17"/>
  <c r="N6" i="17"/>
  <c r="J10" i="17"/>
  <c r="W10" i="17" s="1"/>
  <c r="K6" i="17"/>
  <c r="U10" i="17"/>
  <c r="AE10" i="17" s="1"/>
  <c r="AB6" i="17"/>
  <c r="J5" i="17"/>
  <c r="W5" i="17" s="1"/>
  <c r="X10" i="17"/>
  <c r="AF10" i="17" s="1"/>
  <c r="M6" i="17"/>
  <c r="Z6" i="17" s="1"/>
  <c r="Y8" i="17"/>
  <c r="X4" i="17"/>
  <c r="AF4" i="17" s="1"/>
  <c r="AG10" i="17"/>
  <c r="U8" i="17"/>
  <c r="AE8" i="17" s="1"/>
  <c r="U6" i="17"/>
  <c r="AE6" i="17" s="1"/>
  <c r="AG7" i="17"/>
  <c r="Q10" i="17"/>
  <c r="Q6" i="17"/>
  <c r="X6" i="17"/>
  <c r="AF6" i="17" s="1"/>
  <c r="J6" i="17"/>
  <c r="W6" i="17" s="1"/>
  <c r="U4" i="17"/>
  <c r="AE4" i="17" s="1"/>
  <c r="X3" i="17"/>
  <c r="AF3" i="17" s="1"/>
  <c r="AC9" i="17"/>
  <c r="AB9" i="17"/>
  <c r="AB5" i="17"/>
  <c r="AC5" i="17"/>
  <c r="AB4" i="17"/>
  <c r="AC4" i="17"/>
  <c r="AC8" i="17"/>
  <c r="AB8" i="17"/>
  <c r="Y4" i="17"/>
  <c r="Y9" i="17"/>
  <c r="T8" i="17"/>
  <c r="X5" i="17"/>
  <c r="AF5" i="17" s="1"/>
  <c r="T4" i="17"/>
  <c r="S8" i="17"/>
  <c r="AD8" i="17" s="1"/>
  <c r="O7" i="17"/>
  <c r="AA7" i="17" s="1"/>
  <c r="S4" i="17"/>
  <c r="AD4" i="17" s="1"/>
  <c r="O3" i="17"/>
  <c r="AA3" i="17" s="1"/>
  <c r="V9" i="17"/>
  <c r="V5" i="17"/>
  <c r="V8" i="17"/>
  <c r="Y10" i="17"/>
  <c r="AG8" i="17"/>
  <c r="M7" i="17"/>
  <c r="Z7" i="17" s="1"/>
  <c r="AG4" i="17"/>
  <c r="Q4" i="17"/>
  <c r="AC3" i="17"/>
  <c r="M3" i="17"/>
  <c r="Z3" i="17" s="1"/>
  <c r="Q8" i="17"/>
  <c r="T9" i="17"/>
  <c r="P8" i="17"/>
  <c r="AB7" i="17"/>
  <c r="T5" i="17"/>
  <c r="P4" i="17"/>
  <c r="S9" i="17"/>
  <c r="AD9" i="17" s="1"/>
  <c r="O8" i="17"/>
  <c r="AA8" i="17" s="1"/>
  <c r="S5" i="17"/>
  <c r="AD5" i="17" s="1"/>
  <c r="O4" i="17"/>
  <c r="AA4" i="17" s="1"/>
  <c r="V4" i="17"/>
  <c r="N8" i="17"/>
  <c r="J7" i="17"/>
  <c r="W7" i="17" s="1"/>
  <c r="V6" i="17"/>
  <c r="N4" i="17"/>
  <c r="J3" i="17"/>
  <c r="M8" i="17"/>
  <c r="Z8" i="17" s="1"/>
  <c r="AG5" i="17"/>
  <c r="Q5" i="17"/>
  <c r="M4" i="17"/>
  <c r="Z4" i="17" s="1"/>
  <c r="Q9" i="17"/>
  <c r="H3" i="16"/>
  <c r="I3" i="16"/>
  <c r="K3" i="16"/>
  <c r="H4" i="16"/>
  <c r="A12" i="16" s="1" a="1"/>
  <c r="I4" i="16"/>
  <c r="K4" i="16"/>
  <c r="H5" i="16"/>
  <c r="I5" i="16"/>
  <c r="K5" i="16" s="1"/>
  <c r="N5" i="16"/>
  <c r="H6" i="16"/>
  <c r="I6" i="16"/>
  <c r="K6" i="16"/>
  <c r="B7" i="16"/>
  <c r="C7" i="16"/>
  <c r="H7" i="16"/>
  <c r="I7" i="16"/>
  <c r="H8" i="16"/>
  <c r="I8" i="16"/>
  <c r="K7" i="16" s="1"/>
  <c r="K8" i="16" s="1"/>
  <c r="K9" i="16" s="1"/>
  <c r="K10" i="16" s="1"/>
  <c r="H9" i="16"/>
  <c r="I9" i="16"/>
  <c r="H10" i="16"/>
  <c r="I10" i="16"/>
  <c r="N11" i="16"/>
  <c r="I12" i="16" a="1"/>
  <c r="I12" i="16" s="1"/>
  <c r="K12" i="16"/>
  <c r="N4" i="16" s="1"/>
  <c r="N12" i="16"/>
  <c r="N13" i="16"/>
  <c r="K14" i="16"/>
  <c r="N3" i="16" s="1"/>
  <c r="K16" i="16"/>
  <c r="AB20" i="21" a="1"/>
  <c r="B21" i="31" l="1"/>
  <c r="V11" i="24"/>
  <c r="U11" i="24"/>
  <c r="T11" i="24"/>
  <c r="S12" i="24"/>
  <c r="U12" i="23"/>
  <c r="T12" i="23"/>
  <c r="V12" i="23"/>
  <c r="S13" i="23"/>
  <c r="AB20" i="21"/>
  <c r="AD20" i="21"/>
  <c r="AE20" i="21"/>
  <c r="AE21" i="21"/>
  <c r="AC22" i="21"/>
  <c r="AE22" i="21"/>
  <c r="AC23" i="21"/>
  <c r="AC20" i="21"/>
  <c r="AB21" i="21"/>
  <c r="AB22" i="21"/>
  <c r="AD22" i="21"/>
  <c r="AB23" i="21"/>
  <c r="AD23" i="21"/>
  <c r="AC21" i="21"/>
  <c r="AE23" i="21"/>
  <c r="AD21" i="21"/>
  <c r="X25" i="21"/>
  <c r="X28" i="21"/>
  <c r="X26" i="21"/>
  <c r="X23" i="21"/>
  <c r="X27" i="21"/>
  <c r="X20" i="21"/>
  <c r="X24" i="21"/>
  <c r="X22" i="21"/>
  <c r="X29" i="21"/>
  <c r="T33" i="21"/>
  <c r="N42" i="21"/>
  <c r="V34" i="21"/>
  <c r="T36" i="21"/>
  <c r="V35" i="21"/>
  <c r="V33" i="21"/>
  <c r="U41" i="21"/>
  <c r="V36" i="21"/>
  <c r="T41" i="21"/>
  <c r="P35" i="21"/>
  <c r="Q40" i="21"/>
  <c r="N40" i="21"/>
  <c r="M37" i="21"/>
  <c r="T38" i="21"/>
  <c r="Q36" i="21"/>
  <c r="M36" i="21"/>
  <c r="Q34" i="21"/>
  <c r="V37" i="21"/>
  <c r="V41" i="21"/>
  <c r="M35" i="21"/>
  <c r="R34" i="21"/>
  <c r="U37" i="21"/>
  <c r="P40" i="21"/>
  <c r="R36" i="21"/>
  <c r="S36" i="21"/>
  <c r="N38" i="21"/>
  <c r="O41" i="21"/>
  <c r="U38" i="21"/>
  <c r="T40" i="21"/>
  <c r="Q37" i="21"/>
  <c r="R35" i="21"/>
  <c r="M42" i="21"/>
  <c r="T34" i="21"/>
  <c r="R38" i="21"/>
  <c r="O35" i="21"/>
  <c r="Q38" i="21"/>
  <c r="O39" i="21"/>
  <c r="N34" i="21"/>
  <c r="N35" i="21"/>
  <c r="S40" i="21"/>
  <c r="P33" i="21"/>
  <c r="U35" i="21"/>
  <c r="N33" i="21"/>
  <c r="T35" i="21"/>
  <c r="S34" i="21"/>
  <c r="M40" i="21"/>
  <c r="Q35" i="21"/>
  <c r="V42" i="21"/>
  <c r="S39" i="21"/>
  <c r="Q42" i="21"/>
  <c r="S33" i="21"/>
  <c r="T37" i="21"/>
  <c r="M38" i="21"/>
  <c r="P34" i="21"/>
  <c r="T42" i="21"/>
  <c r="P36" i="21"/>
  <c r="S37" i="21"/>
  <c r="R33" i="21"/>
  <c r="Q39" i="21"/>
  <c r="R39" i="21"/>
  <c r="S42" i="21"/>
  <c r="R37" i="21"/>
  <c r="R40" i="21"/>
  <c r="P41" i="21"/>
  <c r="N39" i="21"/>
  <c r="U33" i="21"/>
  <c r="R41" i="21"/>
  <c r="T39" i="21"/>
  <c r="U42" i="21"/>
  <c r="N37" i="21"/>
  <c r="O40" i="21"/>
  <c r="Q41" i="21"/>
  <c r="N41" i="21"/>
  <c r="M34" i="21"/>
  <c r="O42" i="21"/>
  <c r="U34" i="21"/>
  <c r="V39" i="21"/>
  <c r="V40" i="21"/>
  <c r="V38" i="21"/>
  <c r="M39" i="21"/>
  <c r="P37" i="21"/>
  <c r="M41" i="21"/>
  <c r="R42" i="21"/>
  <c r="U39" i="21"/>
  <c r="U36" i="21"/>
  <c r="N36" i="21"/>
  <c r="S41" i="21"/>
  <c r="O38" i="21"/>
  <c r="U40" i="21"/>
  <c r="P38" i="21"/>
  <c r="Q33" i="21"/>
  <c r="S35" i="21"/>
  <c r="O36" i="21"/>
  <c r="O33" i="21"/>
  <c r="O34" i="21"/>
  <c r="M33" i="21"/>
  <c r="O37" i="21"/>
  <c r="P39" i="21"/>
  <c r="P42" i="21"/>
  <c r="S38" i="21"/>
  <c r="B49" i="21"/>
  <c r="D49" i="21" s="1"/>
  <c r="B48" i="21"/>
  <c r="D48" i="21" s="1"/>
  <c r="V23" i="20"/>
  <c r="V29" i="20"/>
  <c r="V30" i="20"/>
  <c r="V24" i="20"/>
  <c r="V26" i="20"/>
  <c r="V27" i="20"/>
  <c r="V25" i="20"/>
  <c r="Q4" i="19"/>
  <c r="L6" i="19"/>
  <c r="R6" i="19"/>
  <c r="M9" i="19"/>
  <c r="J9" i="19"/>
  <c r="K9" i="19"/>
  <c r="Q9" i="19"/>
  <c r="L3" i="19"/>
  <c r="R3" i="19"/>
  <c r="L4" i="19"/>
  <c r="M4" i="19"/>
  <c r="Q8" i="19"/>
  <c r="J8" i="19"/>
  <c r="K8" i="19"/>
  <c r="M8" i="19"/>
  <c r="J5" i="19"/>
  <c r="K5" i="19"/>
  <c r="M5" i="19"/>
  <c r="Q5" i="19"/>
  <c r="M10" i="19"/>
  <c r="K10" i="19"/>
  <c r="K7" i="19"/>
  <c r="Q7" i="19"/>
  <c r="J7" i="19"/>
  <c r="M7" i="19"/>
  <c r="R9" i="19"/>
  <c r="L9" i="19"/>
  <c r="L7" i="19"/>
  <c r="R7" i="19"/>
  <c r="R8" i="19"/>
  <c r="L8" i="19"/>
  <c r="M3" i="19"/>
  <c r="L10" i="19"/>
  <c r="R10" i="19"/>
  <c r="K4" i="19"/>
  <c r="M6" i="19"/>
  <c r="Q6" i="19"/>
  <c r="J6" i="19"/>
  <c r="K6" i="19"/>
  <c r="K3" i="19"/>
  <c r="J3" i="19"/>
  <c r="H14" i="17" a="1"/>
  <c r="W3" i="17"/>
  <c r="N14" i="16"/>
  <c r="N15" i="16" s="1"/>
  <c r="M13" i="16"/>
  <c r="O13" i="16" s="1"/>
  <c r="Q13" i="16" s="1"/>
  <c r="B14" i="16"/>
  <c r="A14" i="16"/>
  <c r="C15" i="16"/>
  <c r="D15" i="16"/>
  <c r="B15" i="16"/>
  <c r="A13" i="16"/>
  <c r="B13" i="16"/>
  <c r="C13" i="16"/>
  <c r="A12" i="16"/>
  <c r="B12" i="16"/>
  <c r="A15" i="16"/>
  <c r="D13" i="16"/>
  <c r="C14" i="16"/>
  <c r="D14" i="16"/>
  <c r="C12" i="16"/>
  <c r="D12" i="16"/>
  <c r="E12" i="16" a="1"/>
  <c r="M5" i="16"/>
  <c r="I15" i="16"/>
  <c r="I13" i="16"/>
  <c r="I14" i="16"/>
  <c r="B22" i="31" l="1"/>
  <c r="V12" i="24"/>
  <c r="U12" i="24"/>
  <c r="T12" i="24"/>
  <c r="S13" i="24"/>
  <c r="U13" i="23"/>
  <c r="T13" i="23"/>
  <c r="V13" i="23"/>
  <c r="S14" i="23"/>
  <c r="Q23" i="20" a="1"/>
  <c r="Q27" i="20" s="1"/>
  <c r="AC26" i="21"/>
  <c r="AC28" i="21"/>
  <c r="AC27" i="21"/>
  <c r="AC25" i="21"/>
  <c r="E48" i="21"/>
  <c r="F48" i="21" s="1"/>
  <c r="H14" i="17"/>
  <c r="X14" i="17"/>
  <c r="N15" i="17"/>
  <c r="AD15" i="17"/>
  <c r="T16" i="17"/>
  <c r="J17" i="17"/>
  <c r="Z17" i="17"/>
  <c r="P18" i="17"/>
  <c r="AF18" i="17"/>
  <c r="V19" i="17"/>
  <c r="Y14" i="17"/>
  <c r="O15" i="17"/>
  <c r="U16" i="17"/>
  <c r="AA17" i="17"/>
  <c r="AG18" i="17"/>
  <c r="W19" i="17"/>
  <c r="AF15" i="17"/>
  <c r="AB17" i="17"/>
  <c r="R18" i="17"/>
  <c r="X19" i="17"/>
  <c r="Y18" i="17"/>
  <c r="T17" i="17"/>
  <c r="AE16" i="17"/>
  <c r="T14" i="17"/>
  <c r="W17" i="17"/>
  <c r="R16" i="17"/>
  <c r="O18" i="17"/>
  <c r="I14" i="17"/>
  <c r="AE15" i="17"/>
  <c r="K17" i="17"/>
  <c r="Q18" i="17"/>
  <c r="J14" i="17"/>
  <c r="P15" i="17"/>
  <c r="L17" i="17"/>
  <c r="Y19" i="17"/>
  <c r="AE19" i="17"/>
  <c r="Z15" i="17"/>
  <c r="AG16" i="17"/>
  <c r="U19" i="17"/>
  <c r="Z14" i="17"/>
  <c r="V16" i="17"/>
  <c r="H19" i="17"/>
  <c r="H15" i="17"/>
  <c r="U17" i="17"/>
  <c r="P16" i="17"/>
  <c r="Q16" i="17"/>
  <c r="T19" i="17"/>
  <c r="K14" i="17"/>
  <c r="AA14" i="17"/>
  <c r="Q15" i="17"/>
  <c r="AG15" i="17"/>
  <c r="W16" i="17"/>
  <c r="M17" i="17"/>
  <c r="AC17" i="17"/>
  <c r="S18" i="17"/>
  <c r="I19" i="17"/>
  <c r="R14" i="17"/>
  <c r="P19" i="17"/>
  <c r="I15" i="17"/>
  <c r="V17" i="17"/>
  <c r="U14" i="17"/>
  <c r="W14" i="17"/>
  <c r="L14" i="17"/>
  <c r="AB14" i="17"/>
  <c r="R15" i="17"/>
  <c r="H16" i="17"/>
  <c r="X16" i="17"/>
  <c r="N17" i="17"/>
  <c r="AD17" i="17"/>
  <c r="T18" i="17"/>
  <c r="J19" i="17"/>
  <c r="Z19" i="17"/>
  <c r="J16" i="17"/>
  <c r="V18" i="17"/>
  <c r="AG17" i="17"/>
  <c r="AF14" i="17"/>
  <c r="R17" i="17"/>
  <c r="N19" i="17"/>
  <c r="AC16" i="17"/>
  <c r="Z18" i="17"/>
  <c r="O16" i="17"/>
  <c r="Q19" i="17"/>
  <c r="R19" i="17"/>
  <c r="AA15" i="17"/>
  <c r="AC18" i="17"/>
  <c r="N18" i="17"/>
  <c r="M14" i="17"/>
  <c r="AC14" i="17"/>
  <c r="S15" i="17"/>
  <c r="I16" i="17"/>
  <c r="Y16" i="17"/>
  <c r="O17" i="17"/>
  <c r="AE17" i="17"/>
  <c r="U18" i="17"/>
  <c r="K19" i="17"/>
  <c r="AA19" i="17"/>
  <c r="N14" i="17"/>
  <c r="T15" i="17"/>
  <c r="Z16" i="17"/>
  <c r="AF17" i="17"/>
  <c r="AB19" i="17"/>
  <c r="O14" i="17"/>
  <c r="K16" i="17"/>
  <c r="W18" i="17"/>
  <c r="AC19" i="17"/>
  <c r="P14" i="17"/>
  <c r="L16" i="17"/>
  <c r="X18" i="17"/>
  <c r="I18" i="17"/>
  <c r="M15" i="17"/>
  <c r="AD14" i="17"/>
  <c r="P17" i="17"/>
  <c r="L19" i="17"/>
  <c r="AE14" i="17"/>
  <c r="U15" i="17"/>
  <c r="Q17" i="17"/>
  <c r="M19" i="17"/>
  <c r="H18" i="17"/>
  <c r="S17" i="17"/>
  <c r="J18" i="17"/>
  <c r="Y15" i="17"/>
  <c r="AG19" i="17"/>
  <c r="M18" i="17"/>
  <c r="AB15" i="17"/>
  <c r="Y17" i="17"/>
  <c r="AA16" i="17"/>
  <c r="AB16" i="17"/>
  <c r="AD19" i="17"/>
  <c r="M16" i="17"/>
  <c r="X15" i="17"/>
  <c r="AF19" i="17"/>
  <c r="J15" i="17"/>
  <c r="K15" i="17"/>
  <c r="X17" i="17"/>
  <c r="AE18" i="17"/>
  <c r="V15" i="17"/>
  <c r="N16" i="17"/>
  <c r="AA18" i="17"/>
  <c r="AB18" i="17"/>
  <c r="Q14" i="17"/>
  <c r="AG14" i="17"/>
  <c r="W15" i="17"/>
  <c r="O19" i="17"/>
  <c r="AD16" i="17"/>
  <c r="AF16" i="17"/>
  <c r="V14" i="17"/>
  <c r="I17" i="17"/>
  <c r="K18" i="17"/>
  <c r="L18" i="17"/>
  <c r="L15" i="17"/>
  <c r="S16" i="17"/>
  <c r="S14" i="17"/>
  <c r="S19" i="17"/>
  <c r="AD18" i="17"/>
  <c r="AC15" i="17"/>
  <c r="H17" i="17"/>
  <c r="G13" i="16"/>
  <c r="G12" i="16"/>
  <c r="E13" i="16"/>
  <c r="H13" i="16"/>
  <c r="E12" i="16"/>
  <c r="F12" i="16"/>
  <c r="E14" i="16"/>
  <c r="F14" i="16"/>
  <c r="E15" i="16"/>
  <c r="H14" i="16"/>
  <c r="H12" i="16"/>
  <c r="F13" i="16"/>
  <c r="G15" i="16"/>
  <c r="F15" i="16"/>
  <c r="H15" i="16"/>
  <c r="G14" i="16"/>
  <c r="B23" i="31" l="1"/>
  <c r="V13" i="24"/>
  <c r="U13" i="24"/>
  <c r="T13" i="24"/>
  <c r="S14" i="24"/>
  <c r="Q29" i="20"/>
  <c r="Q28" i="20"/>
  <c r="Q23" i="20"/>
  <c r="V14" i="23"/>
  <c r="S15" i="23"/>
  <c r="U14" i="23"/>
  <c r="T14" i="23"/>
  <c r="Q30" i="20"/>
  <c r="Q24" i="20"/>
  <c r="Q26" i="20"/>
  <c r="Q25" i="20"/>
  <c r="J12" i="16" a="1"/>
  <c r="X22" i="20" l="1"/>
  <c r="X23" i="20" s="1"/>
  <c r="B24" i="31"/>
  <c r="G3" i="20" a="1"/>
  <c r="G23" i="20" s="1"/>
  <c r="S15" i="24"/>
  <c r="V14" i="24"/>
  <c r="U14" i="24"/>
  <c r="T14" i="24"/>
  <c r="V15" i="23"/>
  <c r="S16" i="23"/>
  <c r="T15" i="23"/>
  <c r="U15" i="23"/>
  <c r="J15" i="16"/>
  <c r="M10" i="16" s="1"/>
  <c r="O10" i="16" s="1"/>
  <c r="P10" i="16" s="1"/>
  <c r="Q10" i="16" s="1"/>
  <c r="R10" i="16" s="1"/>
  <c r="J14" i="16"/>
  <c r="M9" i="16" s="1"/>
  <c r="O9" i="16" s="1"/>
  <c r="P9" i="16" s="1"/>
  <c r="Q9" i="16" s="1"/>
  <c r="R9" i="16" s="1"/>
  <c r="J12" i="16"/>
  <c r="J13" i="16"/>
  <c r="M8" i="16" s="1"/>
  <c r="X24" i="20" l="1"/>
  <c r="X25" i="20"/>
  <c r="B25" i="31"/>
  <c r="G31" i="20"/>
  <c r="G38" i="20"/>
  <c r="G16" i="20"/>
  <c r="G11" i="20"/>
  <c r="G19" i="20"/>
  <c r="G28" i="20"/>
  <c r="G25" i="20"/>
  <c r="G33" i="20"/>
  <c r="G20" i="20"/>
  <c r="G5" i="20"/>
  <c r="G35" i="20"/>
  <c r="G17" i="20"/>
  <c r="G32" i="20"/>
  <c r="G21" i="20"/>
  <c r="G12" i="20"/>
  <c r="G13" i="20"/>
  <c r="G15" i="20"/>
  <c r="G24" i="20"/>
  <c r="G37" i="20"/>
  <c r="G8" i="20"/>
  <c r="G10" i="20"/>
  <c r="G29" i="20"/>
  <c r="G26" i="20"/>
  <c r="G36" i="20"/>
  <c r="G27" i="20"/>
  <c r="G4" i="20"/>
  <c r="G34" i="20"/>
  <c r="G30" i="20"/>
  <c r="G7" i="20"/>
  <c r="G6" i="20"/>
  <c r="G18" i="20"/>
  <c r="G9" i="20"/>
  <c r="G22" i="20"/>
  <c r="G3" i="20"/>
  <c r="G14" i="20"/>
  <c r="V15" i="24"/>
  <c r="T15" i="24"/>
  <c r="U15" i="24"/>
  <c r="S16" i="24"/>
  <c r="T16" i="23"/>
  <c r="U16" i="23"/>
  <c r="V16" i="23"/>
  <c r="S17" i="23"/>
  <c r="J3" i="16" a="1"/>
  <c r="J7" i="16" s="1"/>
  <c r="M11" i="16"/>
  <c r="O8" i="16"/>
  <c r="P8" i="16" s="1"/>
  <c r="Q8" i="16" s="1"/>
  <c r="R8" i="16" s="1"/>
  <c r="B26" i="31" l="1"/>
  <c r="Q34" i="20"/>
  <c r="S34" i="20" s="1"/>
  <c r="Q35" i="20"/>
  <c r="S35" i="20" s="1"/>
  <c r="U16" i="24"/>
  <c r="S17" i="24"/>
  <c r="V16" i="24"/>
  <c r="T16" i="24"/>
  <c r="S18" i="23"/>
  <c r="V17" i="23"/>
  <c r="U17" i="23"/>
  <c r="T17" i="23"/>
  <c r="J4" i="16"/>
  <c r="J10" i="16"/>
  <c r="J8" i="16"/>
  <c r="J3" i="16"/>
  <c r="J9" i="16"/>
  <c r="J6" i="16"/>
  <c r="J5" i="16"/>
  <c r="O11" i="16"/>
  <c r="P11" i="16" s="1"/>
  <c r="Q11" i="16" s="1"/>
  <c r="R11" i="16" s="1"/>
  <c r="U36" i="20" l="1"/>
  <c r="B27" i="31"/>
  <c r="Q37" i="20"/>
  <c r="S37" i="20" s="1"/>
  <c r="T37" i="20" s="1"/>
  <c r="U37" i="20" s="1"/>
  <c r="T17" i="24"/>
  <c r="S18" i="24"/>
  <c r="V17" i="24"/>
  <c r="U17" i="24"/>
  <c r="T18" i="23"/>
  <c r="U18" i="23"/>
  <c r="V18" i="23"/>
  <c r="S19" i="23"/>
  <c r="M3" i="16"/>
  <c r="O3" i="16" s="1"/>
  <c r="M12" i="16"/>
  <c r="M14" i="16" s="1"/>
  <c r="M4" i="16"/>
  <c r="O4" i="16" s="1"/>
  <c r="Q4" i="16" s="1"/>
  <c r="U35" i="20"/>
  <c r="R23" i="20" a="1"/>
  <c r="T34" i="20"/>
  <c r="U34" i="20" s="1"/>
  <c r="O12" i="16" l="1"/>
  <c r="P12" i="16" s="1"/>
  <c r="Q12" i="16" s="1"/>
  <c r="R12" i="16" s="1"/>
  <c r="B28" i="31"/>
  <c r="Q5" i="16"/>
  <c r="S19" i="24"/>
  <c r="V18" i="24"/>
  <c r="U18" i="24"/>
  <c r="T18" i="24"/>
  <c r="P3" i="16"/>
  <c r="Q3" i="16" s="1"/>
  <c r="R3" i="16" s="1"/>
  <c r="V19" i="23"/>
  <c r="U19" i="23"/>
  <c r="T19" i="23"/>
  <c r="S20" i="23"/>
  <c r="R27" i="20"/>
  <c r="S27" i="20" s="1"/>
  <c r="T27" i="20" s="1"/>
  <c r="U27" i="20" s="1"/>
  <c r="R26" i="20"/>
  <c r="S26" i="20" s="1"/>
  <c r="T26" i="20" s="1"/>
  <c r="U26" i="20" s="1"/>
  <c r="R25" i="20"/>
  <c r="S25" i="20" s="1"/>
  <c r="T25" i="20" s="1"/>
  <c r="U25" i="20" s="1"/>
  <c r="R24" i="20"/>
  <c r="S24" i="20" s="1"/>
  <c r="T24" i="20" s="1"/>
  <c r="U24" i="20" s="1"/>
  <c r="R30" i="20"/>
  <c r="S30" i="20" s="1"/>
  <c r="T30" i="20" s="1"/>
  <c r="U30" i="20" s="1"/>
  <c r="R23" i="20"/>
  <c r="S23" i="20" s="1"/>
  <c r="R29" i="20"/>
  <c r="S29" i="20" s="1"/>
  <c r="T29" i="20" s="1"/>
  <c r="U29" i="20" s="1"/>
  <c r="R28" i="20"/>
  <c r="S28" i="20" s="1"/>
  <c r="T28" i="20" s="1"/>
  <c r="U28" i="20" s="1"/>
  <c r="O14" i="16"/>
  <c r="M15" i="16"/>
  <c r="Q14" i="16" s="1"/>
  <c r="B29" i="31" l="1"/>
  <c r="V19" i="24"/>
  <c r="T19" i="24"/>
  <c r="U19" i="24"/>
  <c r="S20" i="24"/>
  <c r="V20" i="23"/>
  <c r="U20" i="23"/>
  <c r="S21" i="23"/>
  <c r="T20" i="23"/>
  <c r="F3" i="15"/>
  <c r="C12" i="15" s="1"/>
  <c r="R3" i="15"/>
  <c r="F4" i="15"/>
  <c r="R4" i="15"/>
  <c r="F5" i="15"/>
  <c r="R5" i="15"/>
  <c r="F6" i="15"/>
  <c r="R6" i="15"/>
  <c r="Q16" i="15" s="1" a="1"/>
  <c r="Q17" i="15" s="1"/>
  <c r="I12" i="15"/>
  <c r="O12" i="15"/>
  <c r="I13" i="15"/>
  <c r="O13" i="15"/>
  <c r="B14" i="15"/>
  <c r="C14" i="15"/>
  <c r="H14" i="15"/>
  <c r="I14" i="15"/>
  <c r="N14" i="15"/>
  <c r="O14" i="15"/>
  <c r="G16" i="15" a="1"/>
  <c r="H16" i="15" s="1"/>
  <c r="K16" i="15" a="1"/>
  <c r="K16" i="15" s="1"/>
  <c r="B30" i="31" l="1"/>
  <c r="S21" i="24"/>
  <c r="T20" i="24"/>
  <c r="V20" i="24"/>
  <c r="U20" i="24"/>
  <c r="S22" i="23"/>
  <c r="U21" i="23"/>
  <c r="V21" i="23"/>
  <c r="T21" i="23"/>
  <c r="C13" i="15"/>
  <c r="A16" i="15" a="1"/>
  <c r="M16" i="15" a="1"/>
  <c r="M16" i="15" s="1"/>
  <c r="A17" i="15"/>
  <c r="B17" i="15"/>
  <c r="A16" i="15"/>
  <c r="B16" i="15"/>
  <c r="G16" i="15"/>
  <c r="E16" i="15" a="1"/>
  <c r="K17" i="15"/>
  <c r="Q16" i="15"/>
  <c r="H17" i="15"/>
  <c r="G17" i="15"/>
  <c r="J3" i="14" a="1"/>
  <c r="J3" i="14" s="1"/>
  <c r="Q6" i="14"/>
  <c r="Q7" i="14"/>
  <c r="Q8" i="14"/>
  <c r="B14" i="14" a="1"/>
  <c r="B14" i="14" s="1"/>
  <c r="G14" i="14" a="1"/>
  <c r="G15" i="14" s="1"/>
  <c r="Q18" i="14"/>
  <c r="Q19" i="14"/>
  <c r="Q20" i="14"/>
  <c r="B31" i="31" l="1"/>
  <c r="T21" i="24"/>
  <c r="V21" i="24"/>
  <c r="U21" i="24"/>
  <c r="S22" i="24"/>
  <c r="S23" i="23"/>
  <c r="U22" i="23"/>
  <c r="V22" i="23"/>
  <c r="T22" i="23"/>
  <c r="I16" i="15" a="1"/>
  <c r="I16" i="15" s="1"/>
  <c r="M17" i="15"/>
  <c r="N17" i="15"/>
  <c r="N16" i="15"/>
  <c r="E17" i="15"/>
  <c r="E16" i="15"/>
  <c r="O16" i="15" a="1"/>
  <c r="C16" i="15" a="1"/>
  <c r="E15" i="14"/>
  <c r="D18" i="14"/>
  <c r="F14" i="14"/>
  <c r="C18" i="14"/>
  <c r="B18" i="14"/>
  <c r="M6" i="14"/>
  <c r="L6" i="14"/>
  <c r="F17" i="14"/>
  <c r="D17" i="14"/>
  <c r="F16" i="14"/>
  <c r="K6" i="14"/>
  <c r="E17" i="14"/>
  <c r="C17" i="14"/>
  <c r="E16" i="14"/>
  <c r="J6" i="14"/>
  <c r="F15" i="14"/>
  <c r="D15" i="14"/>
  <c r="C15" i="14"/>
  <c r="D16" i="14"/>
  <c r="K5" i="14"/>
  <c r="F18" i="14"/>
  <c r="E18" i="14"/>
  <c r="C16" i="14"/>
  <c r="J5" i="14"/>
  <c r="B17" i="14"/>
  <c r="B15" i="14"/>
  <c r="D14" i="14"/>
  <c r="B16" i="14"/>
  <c r="C14" i="14"/>
  <c r="E14" i="14"/>
  <c r="G14" i="14"/>
  <c r="N3" i="14" a="1"/>
  <c r="L4" i="14"/>
  <c r="M3" i="14"/>
  <c r="K4" i="14"/>
  <c r="L3" i="14"/>
  <c r="K3" i="14"/>
  <c r="M4" i="14"/>
  <c r="M5" i="14"/>
  <c r="J4" i="14"/>
  <c r="G18" i="14"/>
  <c r="G17" i="14"/>
  <c r="G16" i="14"/>
  <c r="L5" i="14"/>
  <c r="B3" i="13"/>
  <c r="C3" i="13"/>
  <c r="D3" i="13"/>
  <c r="E3" i="13"/>
  <c r="F3" i="13"/>
  <c r="G3" i="13"/>
  <c r="H3" i="13"/>
  <c r="I3" i="13"/>
  <c r="B4" i="13"/>
  <c r="C4" i="13"/>
  <c r="D4" i="13"/>
  <c r="E4" i="13"/>
  <c r="F4" i="13"/>
  <c r="G4" i="13"/>
  <c r="H4" i="13"/>
  <c r="I4" i="13"/>
  <c r="C5" i="13"/>
  <c r="D5" i="13"/>
  <c r="E5" i="13"/>
  <c r="F5" i="13"/>
  <c r="G5" i="13"/>
  <c r="H5" i="13"/>
  <c r="I5" i="13"/>
  <c r="L5" i="13"/>
  <c r="D6" i="13"/>
  <c r="E6" i="13"/>
  <c r="F6" i="13"/>
  <c r="G6" i="13"/>
  <c r="H6" i="13"/>
  <c r="I6" i="13"/>
  <c r="M6" i="13"/>
  <c r="N7" i="13" s="1"/>
  <c r="O8" i="13" s="1"/>
  <c r="P9" i="13" s="1"/>
  <c r="Q10" i="13" s="1"/>
  <c r="E7" i="13"/>
  <c r="F7" i="13"/>
  <c r="G7" i="13"/>
  <c r="H7" i="13"/>
  <c r="I7" i="13"/>
  <c r="F8" i="13"/>
  <c r="G8" i="13"/>
  <c r="H8" i="13"/>
  <c r="I8" i="13"/>
  <c r="G9" i="13"/>
  <c r="H9" i="13"/>
  <c r="I9" i="13"/>
  <c r="H10" i="13"/>
  <c r="I10" i="13"/>
  <c r="I11" i="13"/>
  <c r="B32" i="31" l="1"/>
  <c r="V22" i="24"/>
  <c r="S23" i="24"/>
  <c r="U22" i="24"/>
  <c r="T22" i="24"/>
  <c r="T23" i="23"/>
  <c r="U23" i="23"/>
  <c r="V23" i="23"/>
  <c r="J17" i="15"/>
  <c r="I17" i="15"/>
  <c r="J16" i="15"/>
  <c r="C17" i="15"/>
  <c r="D17" i="15"/>
  <c r="D16" i="15"/>
  <c r="C16" i="15"/>
  <c r="F16" i="15" s="1" a="1"/>
  <c r="O17" i="15"/>
  <c r="P17" i="15"/>
  <c r="P16" i="15"/>
  <c r="O16" i="15"/>
  <c r="R16" i="15" s="1" a="1"/>
  <c r="L16" i="15" a="1"/>
  <c r="I14" i="14" a="1"/>
  <c r="I14" i="14" s="1"/>
  <c r="J8" i="14" a="1"/>
  <c r="J8" i="14" s="1"/>
  <c r="N6" i="14"/>
  <c r="N5" i="14"/>
  <c r="N3" i="14"/>
  <c r="N4" i="14"/>
  <c r="A13" i="13" a="1"/>
  <c r="A19" i="13" s="1"/>
  <c r="J13" i="13" a="1"/>
  <c r="D3" i="12"/>
  <c r="F3" i="12"/>
  <c r="G3" i="12"/>
  <c r="D4" i="12"/>
  <c r="F4" i="12"/>
  <c r="G4" i="12"/>
  <c r="D5" i="12"/>
  <c r="F5" i="12"/>
  <c r="G5" i="12"/>
  <c r="D6" i="12"/>
  <c r="F6" i="12"/>
  <c r="G6" i="12"/>
  <c r="D7" i="12"/>
  <c r="F7" i="12"/>
  <c r="G7" i="12"/>
  <c r="D8" i="12"/>
  <c r="F8" i="12"/>
  <c r="G8" i="12"/>
  <c r="B9" i="12"/>
  <c r="F9" i="12" s="1"/>
  <c r="G9" i="12"/>
  <c r="C10" i="12"/>
  <c r="G10" i="12" s="1"/>
  <c r="F10" i="12"/>
  <c r="C11" i="12"/>
  <c r="G11" i="12" s="1"/>
  <c r="F11" i="12"/>
  <c r="B12" i="12"/>
  <c r="F12" i="12" s="1"/>
  <c r="G12" i="12"/>
  <c r="D13" i="12"/>
  <c r="F13" i="12"/>
  <c r="G13" i="12"/>
  <c r="D14" i="12"/>
  <c r="F14" i="12"/>
  <c r="G14" i="12"/>
  <c r="B33" i="31" l="1"/>
  <c r="V23" i="24"/>
  <c r="U23" i="24"/>
  <c r="T23" i="24"/>
  <c r="AB3" i="23" a="1"/>
  <c r="W3" i="23" a="1"/>
  <c r="L16" i="15"/>
  <c r="L17" i="15"/>
  <c r="F17" i="15"/>
  <c r="F16" i="15"/>
  <c r="D3" i="15" s="1" a="1"/>
  <c r="R16" i="15"/>
  <c r="P3" i="15" s="1" a="1"/>
  <c r="R17" i="15"/>
  <c r="M8" i="14"/>
  <c r="K14" i="14"/>
  <c r="M18" i="14"/>
  <c r="M16" i="14"/>
  <c r="I15" i="14"/>
  <c r="J11" i="14"/>
  <c r="J18" i="14"/>
  <c r="L8" i="14"/>
  <c r="I18" i="14"/>
  <c r="M10" i="14"/>
  <c r="J10" i="14"/>
  <c r="I16" i="14"/>
  <c r="K10" i="14"/>
  <c r="M15" i="14"/>
  <c r="J14" i="14"/>
  <c r="N14" i="14" s="1" a="1"/>
  <c r="J17" i="14"/>
  <c r="K9" i="14"/>
  <c r="J9" i="14"/>
  <c r="I17" i="14"/>
  <c r="M17" i="14"/>
  <c r="L11" i="14"/>
  <c r="L17" i="14"/>
  <c r="L18" i="14"/>
  <c r="L9" i="14"/>
  <c r="J15" i="14"/>
  <c r="L10" i="14"/>
  <c r="K8" i="14"/>
  <c r="N8" i="14" s="1" a="1"/>
  <c r="K18" i="14"/>
  <c r="L16" i="14"/>
  <c r="L14" i="14"/>
  <c r="J16" i="14"/>
  <c r="K17" i="14"/>
  <c r="M9" i="14"/>
  <c r="K16" i="14"/>
  <c r="M14" i="14"/>
  <c r="M11" i="14"/>
  <c r="K11" i="14"/>
  <c r="L15" i="14"/>
  <c r="K15" i="14"/>
  <c r="D20" i="13"/>
  <c r="G13" i="13"/>
  <c r="E19" i="13"/>
  <c r="I20" i="13"/>
  <c r="B16" i="13"/>
  <c r="H18" i="13"/>
  <c r="H14" i="13"/>
  <c r="E16" i="13"/>
  <c r="F20" i="13"/>
  <c r="B15" i="13"/>
  <c r="A21" i="13"/>
  <c r="F17" i="13"/>
  <c r="H21" i="13"/>
  <c r="H15" i="13"/>
  <c r="F21" i="13"/>
  <c r="I21" i="13"/>
  <c r="C16" i="13"/>
  <c r="H19" i="13"/>
  <c r="D21" i="13"/>
  <c r="C20" i="13"/>
  <c r="A20" i="13"/>
  <c r="A18" i="13"/>
  <c r="E18" i="13"/>
  <c r="G18" i="13"/>
  <c r="A17" i="13"/>
  <c r="C15" i="13"/>
  <c r="E13" i="13"/>
  <c r="E20" i="13"/>
  <c r="I17" i="13"/>
  <c r="D17" i="13"/>
  <c r="F14" i="13"/>
  <c r="B17" i="13"/>
  <c r="A16" i="13"/>
  <c r="C18" i="13"/>
  <c r="C21" i="13"/>
  <c r="G14" i="13"/>
  <c r="H20" i="13"/>
  <c r="C19" i="13"/>
  <c r="G19" i="13"/>
  <c r="B20" i="13"/>
  <c r="B21" i="13"/>
  <c r="B19" i="13"/>
  <c r="G16" i="13"/>
  <c r="B18" i="13"/>
  <c r="D15" i="13"/>
  <c r="I13" i="13"/>
  <c r="D14" i="13"/>
  <c r="I16" i="13"/>
  <c r="I18" i="13"/>
  <c r="D19" i="13"/>
  <c r="E15" i="13"/>
  <c r="H16" i="13"/>
  <c r="F16" i="13"/>
  <c r="F15" i="13"/>
  <c r="G21" i="13"/>
  <c r="E21" i="13"/>
  <c r="D18" i="13"/>
  <c r="A14" i="13"/>
  <c r="F18" i="13"/>
  <c r="C14" i="13"/>
  <c r="F13" i="13"/>
  <c r="D16" i="13"/>
  <c r="B14" i="13"/>
  <c r="E14" i="13"/>
  <c r="G20" i="13"/>
  <c r="I15" i="13"/>
  <c r="D13" i="13"/>
  <c r="H17" i="13"/>
  <c r="H13" i="13"/>
  <c r="I19" i="13"/>
  <c r="C17" i="13"/>
  <c r="F19" i="13"/>
  <c r="A13" i="13"/>
  <c r="B13" i="13"/>
  <c r="I14" i="13"/>
  <c r="G17" i="13"/>
  <c r="E17" i="13"/>
  <c r="A15" i="13"/>
  <c r="G15" i="13"/>
  <c r="C13" i="13"/>
  <c r="M13" i="13"/>
  <c r="N13" i="13"/>
  <c r="J15" i="13"/>
  <c r="P13" i="13"/>
  <c r="N14" i="13"/>
  <c r="L15" i="13"/>
  <c r="J16" i="13"/>
  <c r="R20" i="13"/>
  <c r="P21" i="13"/>
  <c r="Q13" i="13"/>
  <c r="M15" i="13"/>
  <c r="Q21" i="13"/>
  <c r="N15" i="13"/>
  <c r="R21" i="13"/>
  <c r="O14" i="13"/>
  <c r="K16" i="13"/>
  <c r="J17" i="13"/>
  <c r="R13" i="13"/>
  <c r="P14" i="13"/>
  <c r="L16" i="13"/>
  <c r="Q14" i="13"/>
  <c r="O15" i="13"/>
  <c r="M16" i="13"/>
  <c r="K17" i="13"/>
  <c r="P16" i="13"/>
  <c r="N17" i="13"/>
  <c r="J19" i="13"/>
  <c r="M18" i="13"/>
  <c r="R16" i="13"/>
  <c r="L19" i="13"/>
  <c r="O18" i="13"/>
  <c r="J21" i="13"/>
  <c r="K21" i="13"/>
  <c r="J14" i="13"/>
  <c r="R18" i="13"/>
  <c r="Q19" i="13"/>
  <c r="P20" i="13"/>
  <c r="R14" i="13"/>
  <c r="P15" i="13"/>
  <c r="N16" i="13"/>
  <c r="L17" i="13"/>
  <c r="J18" i="13"/>
  <c r="K19" i="13"/>
  <c r="N18" i="13"/>
  <c r="M19" i="13"/>
  <c r="M20" i="13"/>
  <c r="L14" i="13"/>
  <c r="Q15" i="13"/>
  <c r="O16" i="13"/>
  <c r="M17" i="13"/>
  <c r="K18" i="13"/>
  <c r="R15" i="13"/>
  <c r="L18" i="13"/>
  <c r="O17" i="13"/>
  <c r="P17" i="13"/>
  <c r="K20" i="13"/>
  <c r="L13" i="13"/>
  <c r="M21" i="13"/>
  <c r="O13" i="13"/>
  <c r="Q17" i="13"/>
  <c r="O19" i="13"/>
  <c r="Q16" i="13"/>
  <c r="J20" i="13"/>
  <c r="K13" i="13"/>
  <c r="Q18" i="13"/>
  <c r="L21" i="13"/>
  <c r="M14" i="13"/>
  <c r="J13" i="13"/>
  <c r="R17" i="13"/>
  <c r="P18" i="13"/>
  <c r="N19" i="13"/>
  <c r="L20" i="13"/>
  <c r="P19" i="13"/>
  <c r="K14" i="13"/>
  <c r="O20" i="13"/>
  <c r="R19" i="13"/>
  <c r="K15" i="13"/>
  <c r="Q20" i="13"/>
  <c r="N20" i="13"/>
  <c r="N21" i="13"/>
  <c r="O21" i="13"/>
  <c r="A17" i="12" a="1"/>
  <c r="D3" i="11"/>
  <c r="E3" i="11"/>
  <c r="S3" i="11" s="1"/>
  <c r="F3" i="11"/>
  <c r="Q3" i="11"/>
  <c r="R3" i="11"/>
  <c r="D4" i="11"/>
  <c r="E4" i="11"/>
  <c r="F4" i="11"/>
  <c r="Q4" i="11"/>
  <c r="R4" i="11"/>
  <c r="S4" i="11"/>
  <c r="D5" i="11"/>
  <c r="E5" i="11"/>
  <c r="F5" i="11"/>
  <c r="Q5" i="11"/>
  <c r="R5" i="11"/>
  <c r="D6" i="11"/>
  <c r="E6" i="11"/>
  <c r="S6" i="11" s="1"/>
  <c r="F6" i="11"/>
  <c r="Q6" i="11"/>
  <c r="R6" i="11"/>
  <c r="D7" i="11"/>
  <c r="E7" i="11"/>
  <c r="S7" i="11" s="1"/>
  <c r="F7" i="11"/>
  <c r="K7" i="11"/>
  <c r="Q7" i="11"/>
  <c r="R7" i="11"/>
  <c r="D8" i="11"/>
  <c r="E8" i="11"/>
  <c r="S8" i="11" s="1"/>
  <c r="F8" i="11"/>
  <c r="Q8" i="11"/>
  <c r="R8" i="11"/>
  <c r="B9" i="11"/>
  <c r="E9" i="11" s="1"/>
  <c r="S9" i="11" s="1"/>
  <c r="F9" i="11"/>
  <c r="Q9" i="11"/>
  <c r="R9" i="11"/>
  <c r="C10" i="11"/>
  <c r="F10" i="11" s="1"/>
  <c r="E10" i="11"/>
  <c r="S10" i="11" s="1"/>
  <c r="Q10" i="11"/>
  <c r="C11" i="11"/>
  <c r="R11" i="11" s="1"/>
  <c r="E11" i="11"/>
  <c r="Q11" i="11"/>
  <c r="S11" i="11"/>
  <c r="B12" i="11"/>
  <c r="E12" i="11" s="1"/>
  <c r="S12" i="11" s="1"/>
  <c r="F12" i="11"/>
  <c r="R12" i="11"/>
  <c r="D13" i="11"/>
  <c r="E13" i="11"/>
  <c r="S13" i="11" s="1"/>
  <c r="F13" i="11"/>
  <c r="Q13" i="11"/>
  <c r="R13" i="11"/>
  <c r="D14" i="11"/>
  <c r="E14" i="11"/>
  <c r="S14" i="11" s="1"/>
  <c r="F14" i="11"/>
  <c r="Q14" i="11"/>
  <c r="R14" i="11"/>
  <c r="B34" i="31" l="1"/>
  <c r="AB3" i="24" a="1"/>
  <c r="W3" i="24" a="1"/>
  <c r="W5" i="23"/>
  <c r="AA7" i="23"/>
  <c r="Y10" i="23"/>
  <c r="Y12" i="23"/>
  <c r="Y5" i="23"/>
  <c r="W8" i="23"/>
  <c r="AA10" i="23"/>
  <c r="AA12" i="23"/>
  <c r="W3" i="23"/>
  <c r="Z5" i="23"/>
  <c r="X8" i="23"/>
  <c r="W11" i="23"/>
  <c r="X5" i="23"/>
  <c r="Z10" i="23"/>
  <c r="Z12" i="23"/>
  <c r="W12" i="23"/>
  <c r="X3" i="23"/>
  <c r="AA5" i="23"/>
  <c r="Y8" i="23"/>
  <c r="X11" i="23"/>
  <c r="W10" i="23"/>
  <c r="Y3" i="23"/>
  <c r="Z3" i="23"/>
  <c r="W6" i="23"/>
  <c r="AA8" i="23"/>
  <c r="Y11" i="23"/>
  <c r="Y6" i="23"/>
  <c r="W9" i="23"/>
  <c r="X9" i="23"/>
  <c r="AA9" i="23"/>
  <c r="AA3" i="23"/>
  <c r="X6" i="23"/>
  <c r="Z11" i="23"/>
  <c r="AA11" i="23"/>
  <c r="Z6" i="23"/>
  <c r="W4" i="23"/>
  <c r="AA6" i="23"/>
  <c r="Y9" i="23"/>
  <c r="Z9" i="23"/>
  <c r="Y4" i="23"/>
  <c r="W7" i="23"/>
  <c r="AA4" i="23"/>
  <c r="X4" i="23"/>
  <c r="Z4" i="23"/>
  <c r="X7" i="23"/>
  <c r="Z7" i="23"/>
  <c r="X10" i="23"/>
  <c r="X12" i="23"/>
  <c r="Z8" i="23"/>
  <c r="Y7" i="23"/>
  <c r="Z17" i="23"/>
  <c r="W15" i="23"/>
  <c r="AA17" i="23"/>
  <c r="X15" i="23"/>
  <c r="Y15" i="23"/>
  <c r="Z15" i="23"/>
  <c r="Y17" i="23"/>
  <c r="W13" i="23"/>
  <c r="AA15" i="23"/>
  <c r="X18" i="23"/>
  <c r="AA13" i="23"/>
  <c r="Y16" i="23"/>
  <c r="Y18" i="23"/>
  <c r="Z16" i="23"/>
  <c r="Z18" i="23"/>
  <c r="AA14" i="23"/>
  <c r="X13" i="23"/>
  <c r="AA16" i="23"/>
  <c r="AA18" i="23"/>
  <c r="Z14" i="23"/>
  <c r="Y13" i="23"/>
  <c r="W16" i="23"/>
  <c r="W18" i="23"/>
  <c r="Z13" i="23"/>
  <c r="X16" i="23"/>
  <c r="X14" i="23"/>
  <c r="Y14" i="23"/>
  <c r="W17" i="23"/>
  <c r="X17" i="23"/>
  <c r="W14" i="23"/>
  <c r="AA21" i="23"/>
  <c r="Z23" i="23"/>
  <c r="AA23" i="23"/>
  <c r="Z19" i="23"/>
  <c r="W20" i="23"/>
  <c r="X20" i="23"/>
  <c r="Y20" i="23"/>
  <c r="W22" i="23"/>
  <c r="Z20" i="23"/>
  <c r="X22" i="23"/>
  <c r="AA20" i="23"/>
  <c r="Y22" i="23"/>
  <c r="Z22" i="23"/>
  <c r="AA22" i="23"/>
  <c r="W19" i="23"/>
  <c r="AA19" i="23"/>
  <c r="Y21" i="23"/>
  <c r="W23" i="23"/>
  <c r="Z21" i="23"/>
  <c r="X23" i="23"/>
  <c r="Y23" i="23"/>
  <c r="X19" i="23"/>
  <c r="Y19" i="23"/>
  <c r="W21" i="23"/>
  <c r="X21" i="23"/>
  <c r="AB10" i="23"/>
  <c r="AB12" i="23"/>
  <c r="AB7" i="23"/>
  <c r="AB11" i="23"/>
  <c r="AB8" i="23"/>
  <c r="AB3" i="23"/>
  <c r="AB6" i="23"/>
  <c r="AB9" i="23"/>
  <c r="AB4" i="23"/>
  <c r="AB5" i="23"/>
  <c r="AB14" i="23"/>
  <c r="AB17" i="23"/>
  <c r="AB13" i="23"/>
  <c r="AB18" i="23"/>
  <c r="AB15" i="23"/>
  <c r="AB16" i="23"/>
  <c r="AB21" i="23"/>
  <c r="AB23" i="23"/>
  <c r="AB20" i="23"/>
  <c r="AB19" i="23"/>
  <c r="AB22" i="23"/>
  <c r="D3" i="15"/>
  <c r="D6" i="15"/>
  <c r="D7" i="15"/>
  <c r="D4" i="15"/>
  <c r="D9" i="15"/>
  <c r="D8" i="15"/>
  <c r="D5" i="15"/>
  <c r="P5" i="15"/>
  <c r="P6" i="15"/>
  <c r="P3" i="15"/>
  <c r="P8" i="15"/>
  <c r="P9" i="15"/>
  <c r="P7" i="15"/>
  <c r="P4" i="15"/>
  <c r="J3" i="15" a="1"/>
  <c r="N14" i="14"/>
  <c r="N17" i="14"/>
  <c r="P16" i="14" s="1"/>
  <c r="R16" i="14" s="1"/>
  <c r="N18" i="14"/>
  <c r="P17" i="14" s="1"/>
  <c r="R17" i="14" s="1"/>
  <c r="N16" i="14"/>
  <c r="P15" i="14" s="1"/>
  <c r="R15" i="14" s="1"/>
  <c r="N15" i="14"/>
  <c r="P14" i="14" s="1"/>
  <c r="R14" i="14" s="1"/>
  <c r="N10" i="14"/>
  <c r="P4" i="14" s="1"/>
  <c r="R4" i="14" s="1"/>
  <c r="N9" i="14"/>
  <c r="P3" i="14" s="1"/>
  <c r="R3" i="14" s="1"/>
  <c r="N11" i="14"/>
  <c r="P5" i="14" s="1"/>
  <c r="R5" i="14" s="1"/>
  <c r="N8" i="14"/>
  <c r="A18" i="12"/>
  <c r="E22" i="12"/>
  <c r="B23" i="12"/>
  <c r="B18" i="12"/>
  <c r="F22" i="12"/>
  <c r="C23" i="12"/>
  <c r="C18" i="12"/>
  <c r="G22" i="12"/>
  <c r="D23" i="12"/>
  <c r="D18" i="12"/>
  <c r="A19" i="12"/>
  <c r="E23" i="12"/>
  <c r="E18" i="12"/>
  <c r="B19" i="12"/>
  <c r="F23" i="12"/>
  <c r="G23" i="12"/>
  <c r="F19" i="12"/>
  <c r="D17" i="12"/>
  <c r="A22" i="12"/>
  <c r="F18" i="12"/>
  <c r="C19" i="12"/>
  <c r="B22" i="12"/>
  <c r="G18" i="12"/>
  <c r="D19" i="12"/>
  <c r="A20" i="12"/>
  <c r="E19" i="12"/>
  <c r="B20" i="12"/>
  <c r="C20" i="12"/>
  <c r="F20" i="12"/>
  <c r="G20" i="12"/>
  <c r="E21" i="12"/>
  <c r="A17" i="12"/>
  <c r="G19" i="12"/>
  <c r="D20" i="12"/>
  <c r="A21" i="12"/>
  <c r="E20" i="12"/>
  <c r="C21" i="12"/>
  <c r="B17" i="12"/>
  <c r="B21" i="12"/>
  <c r="C17" i="12"/>
  <c r="D21" i="12"/>
  <c r="E17" i="12"/>
  <c r="F17" i="12"/>
  <c r="F21" i="12"/>
  <c r="D22" i="12"/>
  <c r="A23" i="12"/>
  <c r="G21" i="12"/>
  <c r="G17" i="12"/>
  <c r="C22" i="12"/>
  <c r="Q12" i="11"/>
  <c r="F11" i="11"/>
  <c r="A23" i="11" a="1"/>
  <c r="B24" i="11" s="1"/>
  <c r="G16" i="11" a="1"/>
  <c r="K9" i="11"/>
  <c r="J9" i="11"/>
  <c r="R10" i="11"/>
  <c r="P21" i="11" s="1" a="1"/>
  <c r="S5" i="11"/>
  <c r="J25" i="11"/>
  <c r="K25" i="11"/>
  <c r="A16" i="11" a="1"/>
  <c r="K8" i="11"/>
  <c r="K24" i="11"/>
  <c r="E3" i="10"/>
  <c r="F3" i="10"/>
  <c r="G3" i="10"/>
  <c r="H3" i="10"/>
  <c r="I3" i="10"/>
  <c r="J3" i="10"/>
  <c r="O3" i="10"/>
  <c r="E4" i="10"/>
  <c r="F4" i="10"/>
  <c r="G4" i="10"/>
  <c r="H4" i="10"/>
  <c r="I4" i="10"/>
  <c r="J4" i="10"/>
  <c r="O4" i="10"/>
  <c r="E5" i="10"/>
  <c r="F5" i="10"/>
  <c r="G5" i="10"/>
  <c r="H5" i="10"/>
  <c r="I5" i="10"/>
  <c r="J5" i="10"/>
  <c r="N5" i="10"/>
  <c r="O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B12" i="10"/>
  <c r="B13" i="10" s="1"/>
  <c r="H13" i="10" s="1"/>
  <c r="G12" i="10"/>
  <c r="H12" i="10"/>
  <c r="I12" i="10"/>
  <c r="J12" i="10"/>
  <c r="G13" i="10"/>
  <c r="I13" i="10"/>
  <c r="J13" i="10"/>
  <c r="C14" i="10"/>
  <c r="E14" i="10" s="1"/>
  <c r="F14" i="10"/>
  <c r="G14" i="10"/>
  <c r="H14" i="10"/>
  <c r="I14" i="10"/>
  <c r="J14" i="10"/>
  <c r="C15" i="10"/>
  <c r="G15" i="10" s="1"/>
  <c r="E15" i="10"/>
  <c r="F15" i="10"/>
  <c r="H15" i="10"/>
  <c r="J15" i="10"/>
  <c r="D16" i="10"/>
  <c r="F16" i="10" s="1"/>
  <c r="E16" i="10"/>
  <c r="H16" i="10"/>
  <c r="I16" i="10"/>
  <c r="E17" i="10"/>
  <c r="H17" i="10"/>
  <c r="I17" i="10"/>
  <c r="B35" i="31" l="1"/>
  <c r="AA21" i="24"/>
  <c r="Z18" i="24"/>
  <c r="Y15" i="24"/>
  <c r="X12" i="24"/>
  <c r="W9" i="24"/>
  <c r="AA5" i="24"/>
  <c r="Y21" i="24"/>
  <c r="W15" i="24"/>
  <c r="Z8" i="24"/>
  <c r="X21" i="24"/>
  <c r="W18" i="24"/>
  <c r="Y8" i="24"/>
  <c r="AA17" i="24"/>
  <c r="W5" i="24"/>
  <c r="Z17" i="24"/>
  <c r="Y14" i="24"/>
  <c r="W8" i="24"/>
  <c r="AA19" i="24"/>
  <c r="W7" i="24"/>
  <c r="AA22" i="24"/>
  <c r="Y16" i="24"/>
  <c r="W10" i="24"/>
  <c r="Z3" i="24"/>
  <c r="Y6" i="24"/>
  <c r="AA15" i="24"/>
  <c r="Z21" i="24"/>
  <c r="Y18" i="24"/>
  <c r="X15" i="24"/>
  <c r="W12" i="24"/>
  <c r="AA8" i="24"/>
  <c r="Z5" i="24"/>
  <c r="X18" i="24"/>
  <c r="AA11" i="24"/>
  <c r="Y5" i="24"/>
  <c r="AA14" i="24"/>
  <c r="X5" i="24"/>
  <c r="W21" i="24"/>
  <c r="Z14" i="24"/>
  <c r="Y11" i="24"/>
  <c r="X8" i="24"/>
  <c r="AA20" i="24"/>
  <c r="X11" i="24"/>
  <c r="AA4" i="24"/>
  <c r="Y13" i="24"/>
  <c r="W13" i="24"/>
  <c r="Z9" i="24"/>
  <c r="X22" i="24"/>
  <c r="X6" i="24"/>
  <c r="W22" i="24"/>
  <c r="Z15" i="24"/>
  <c r="Z11" i="24"/>
  <c r="Z22" i="24"/>
  <c r="Z6" i="24"/>
  <c r="X19" i="24"/>
  <c r="Z12" i="24"/>
  <c r="AA18" i="24"/>
  <c r="W6" i="24"/>
  <c r="AA23" i="24"/>
  <c r="Z20" i="24"/>
  <c r="Y17" i="24"/>
  <c r="X14" i="24"/>
  <c r="W11" i="24"/>
  <c r="AA7" i="24"/>
  <c r="Z4" i="24"/>
  <c r="Z23" i="24"/>
  <c r="X17" i="24"/>
  <c r="W14" i="24"/>
  <c r="AA10" i="24"/>
  <c r="Y4" i="24"/>
  <c r="X20" i="24"/>
  <c r="AA13" i="24"/>
  <c r="Z10" i="24"/>
  <c r="X23" i="24"/>
  <c r="W20" i="24"/>
  <c r="Z13" i="24"/>
  <c r="W4" i="24"/>
  <c r="W23" i="24"/>
  <c r="Z16" i="24"/>
  <c r="AA3" i="24"/>
  <c r="Z19" i="24"/>
  <c r="AA6" i="24"/>
  <c r="Y19" i="24"/>
  <c r="Y3" i="24"/>
  <c r="Y22" i="24"/>
  <c r="X3" i="24"/>
  <c r="W19" i="24"/>
  <c r="W3" i="24"/>
  <c r="Y20" i="24"/>
  <c r="Z7" i="24"/>
  <c r="Y23" i="24"/>
  <c r="W17" i="24"/>
  <c r="Y7" i="24"/>
  <c r="AA16" i="24"/>
  <c r="Y10" i="24"/>
  <c r="X10" i="24"/>
  <c r="X13" i="24"/>
  <c r="X16" i="24"/>
  <c r="AA12" i="24"/>
  <c r="Y9" i="24"/>
  <c r="Y12" i="24"/>
  <c r="X4" i="24"/>
  <c r="X7" i="24"/>
  <c r="AA9" i="24"/>
  <c r="W16" i="24"/>
  <c r="X9" i="24"/>
  <c r="AB23" i="24"/>
  <c r="AB7" i="24"/>
  <c r="AB20" i="24"/>
  <c r="AB3" i="24"/>
  <c r="AB22" i="24"/>
  <c r="AB6" i="24"/>
  <c r="AB5" i="24"/>
  <c r="AB4" i="24"/>
  <c r="AB19" i="24"/>
  <c r="AB13" i="24"/>
  <c r="AB21" i="24"/>
  <c r="AB11" i="24"/>
  <c r="AB18" i="24"/>
  <c r="AB17" i="24"/>
  <c r="AB16" i="24"/>
  <c r="AB15" i="24"/>
  <c r="AB14" i="24"/>
  <c r="AB12" i="24"/>
  <c r="AB9" i="24"/>
  <c r="AB8" i="24"/>
  <c r="AB10" i="24"/>
  <c r="N13" i="15"/>
  <c r="P13" i="15" s="1"/>
  <c r="R13" i="15" s="1"/>
  <c r="N12" i="15"/>
  <c r="J3" i="15"/>
  <c r="J6" i="15"/>
  <c r="J7" i="15"/>
  <c r="J4" i="15"/>
  <c r="J9" i="15"/>
  <c r="J8" i="15"/>
  <c r="J5" i="15"/>
  <c r="B12" i="15"/>
  <c r="B13" i="15"/>
  <c r="D13" i="15" s="1"/>
  <c r="F13" i="15" s="1"/>
  <c r="I4" i="14" a="1"/>
  <c r="I8" i="14" s="1"/>
  <c r="H4" i="14" a="1"/>
  <c r="P8" i="14"/>
  <c r="C23" i="11"/>
  <c r="F24" i="11"/>
  <c r="B26" i="11"/>
  <c r="E27" i="11"/>
  <c r="D28" i="11"/>
  <c r="D25" i="11"/>
  <c r="D24" i="11"/>
  <c r="D23" i="11"/>
  <c r="C25" i="11"/>
  <c r="F28" i="11"/>
  <c r="B28" i="11"/>
  <c r="E23" i="11"/>
  <c r="E26" i="11"/>
  <c r="D27" i="11"/>
  <c r="B25" i="11"/>
  <c r="C28" i="11"/>
  <c r="C24" i="11"/>
  <c r="A25" i="11"/>
  <c r="A27" i="11"/>
  <c r="E25" i="11"/>
  <c r="D26" i="11"/>
  <c r="A24" i="11"/>
  <c r="E24" i="11"/>
  <c r="F23" i="11"/>
  <c r="C27" i="11"/>
  <c r="A28" i="11"/>
  <c r="C26" i="11"/>
  <c r="B23" i="11"/>
  <c r="A26" i="11"/>
  <c r="B27" i="11"/>
  <c r="F26" i="11"/>
  <c r="A23" i="11"/>
  <c r="F25" i="11"/>
  <c r="E28" i="11"/>
  <c r="F27" i="11"/>
  <c r="P21" i="11"/>
  <c r="Q21" i="11"/>
  <c r="R21" i="11"/>
  <c r="S21" i="11"/>
  <c r="R22" i="11"/>
  <c r="Q22" i="11"/>
  <c r="P22" i="11"/>
  <c r="R23" i="11"/>
  <c r="P24" i="11"/>
  <c r="P23" i="11"/>
  <c r="S22" i="11"/>
  <c r="Q23" i="11"/>
  <c r="Q24" i="11"/>
  <c r="R24" i="11"/>
  <c r="S23" i="11"/>
  <c r="S24" i="11"/>
  <c r="T16" i="11" a="1"/>
  <c r="E17" i="11"/>
  <c r="D18" i="11"/>
  <c r="F17" i="11"/>
  <c r="E18" i="11"/>
  <c r="A21" i="11"/>
  <c r="F19" i="11"/>
  <c r="F18" i="11"/>
  <c r="B21" i="11"/>
  <c r="C21" i="11"/>
  <c r="A20" i="11"/>
  <c r="D21" i="11"/>
  <c r="D20" i="11"/>
  <c r="E16" i="11"/>
  <c r="C18" i="11"/>
  <c r="A19" i="11"/>
  <c r="D16" i="11"/>
  <c r="E20" i="11"/>
  <c r="C19" i="11"/>
  <c r="A16" i="11"/>
  <c r="B20" i="11"/>
  <c r="E21" i="11"/>
  <c r="C20" i="11"/>
  <c r="A17" i="11"/>
  <c r="B16" i="11"/>
  <c r="F21" i="11"/>
  <c r="C16" i="11"/>
  <c r="B19" i="11"/>
  <c r="F20" i="11"/>
  <c r="F16" i="11"/>
  <c r="B17" i="11"/>
  <c r="A18" i="11"/>
  <c r="D19" i="11"/>
  <c r="C17" i="11"/>
  <c r="B18" i="11"/>
  <c r="E19" i="11"/>
  <c r="D17" i="11"/>
  <c r="G19" i="11"/>
  <c r="G17" i="11"/>
  <c r="G18" i="11"/>
  <c r="G16" i="11"/>
  <c r="G21" i="11"/>
  <c r="G20" i="11"/>
  <c r="P16" i="11" a="1"/>
  <c r="F12" i="10"/>
  <c r="D17" i="10"/>
  <c r="F17" i="10" s="1"/>
  <c r="J16" i="10"/>
  <c r="E12" i="10"/>
  <c r="G16" i="10"/>
  <c r="I15" i="10"/>
  <c r="F13" i="10"/>
  <c r="E13" i="10"/>
  <c r="L3" i="9"/>
  <c r="M3" i="9"/>
  <c r="N3" i="9"/>
  <c r="O3" i="9"/>
  <c r="K4" i="9"/>
  <c r="M4" i="9" s="1"/>
  <c r="L4" i="9"/>
  <c r="K5" i="9"/>
  <c r="M5" i="9" s="1"/>
  <c r="L5" i="9"/>
  <c r="O5" i="9"/>
  <c r="K6" i="9"/>
  <c r="M6" i="9" s="1"/>
  <c r="L6" i="9"/>
  <c r="K7" i="9"/>
  <c r="M7" i="9" s="1"/>
  <c r="L7" i="9"/>
  <c r="K8" i="9"/>
  <c r="M8" i="9" s="1"/>
  <c r="L8" i="9"/>
  <c r="I9" i="9"/>
  <c r="L9" i="9" s="1"/>
  <c r="J9" i="9"/>
  <c r="D20" i="9"/>
  <c r="I20" i="9" s="1"/>
  <c r="E20" i="9"/>
  <c r="G20" i="9"/>
  <c r="P20" i="9"/>
  <c r="Q20" i="9"/>
  <c r="R20" i="9"/>
  <c r="S20" i="9"/>
  <c r="T20" i="9"/>
  <c r="U20" i="9"/>
  <c r="V20" i="9"/>
  <c r="C21" i="9"/>
  <c r="D21" i="9" s="1"/>
  <c r="P21" i="9"/>
  <c r="Q21" i="9"/>
  <c r="R21" i="9"/>
  <c r="S21" i="9"/>
  <c r="T21" i="9"/>
  <c r="U21" i="9"/>
  <c r="V21" i="9"/>
  <c r="D22" i="9"/>
  <c r="J22" i="9" s="1"/>
  <c r="E22" i="9"/>
  <c r="F22" i="9"/>
  <c r="G22" i="9"/>
  <c r="H22" i="9"/>
  <c r="K22" i="9"/>
  <c r="P22" i="9"/>
  <c r="Q22" i="9"/>
  <c r="R22" i="9"/>
  <c r="S22" i="9"/>
  <c r="T22" i="9"/>
  <c r="U22" i="9"/>
  <c r="V22" i="9"/>
  <c r="B23" i="9"/>
  <c r="C23" i="9"/>
  <c r="P23" i="9"/>
  <c r="Q23" i="9"/>
  <c r="R23" i="9"/>
  <c r="S23" i="9"/>
  <c r="T23" i="9"/>
  <c r="U23" i="9"/>
  <c r="V23" i="9"/>
  <c r="B24" i="9"/>
  <c r="D24" i="9"/>
  <c r="J24" i="9" s="1"/>
  <c r="E24" i="9"/>
  <c r="F24" i="9"/>
  <c r="G24" i="9"/>
  <c r="H24" i="9"/>
  <c r="P24" i="9"/>
  <c r="Q24" i="9"/>
  <c r="R24" i="9"/>
  <c r="S24" i="9"/>
  <c r="T24" i="9"/>
  <c r="U24" i="9"/>
  <c r="V24" i="9"/>
  <c r="B25" i="9"/>
  <c r="D25" i="9" s="1"/>
  <c r="G25" i="9"/>
  <c r="P25" i="9"/>
  <c r="Q25" i="9"/>
  <c r="R25" i="9"/>
  <c r="S25" i="9"/>
  <c r="T25" i="9"/>
  <c r="U25" i="9"/>
  <c r="V25" i="9"/>
  <c r="B26" i="9"/>
  <c r="G26" i="9" s="1"/>
  <c r="C26" i="9"/>
  <c r="E26" i="9" s="1"/>
  <c r="M26" i="9"/>
  <c r="N26" i="9"/>
  <c r="O26" i="9"/>
  <c r="B27" i="9"/>
  <c r="D27" i="9" s="1"/>
  <c r="M27" i="9"/>
  <c r="N27" i="9"/>
  <c r="O27" i="9"/>
  <c r="C28" i="9"/>
  <c r="G28" i="9" s="1"/>
  <c r="D28" i="9"/>
  <c r="I28" i="9" s="1"/>
  <c r="E28" i="9"/>
  <c r="M28" i="9"/>
  <c r="S28" i="9" s="1"/>
  <c r="N28" i="9"/>
  <c r="O28" i="9"/>
  <c r="R28" i="9"/>
  <c r="C29" i="9"/>
  <c r="D29" i="9" s="1"/>
  <c r="M29" i="9"/>
  <c r="N29" i="9"/>
  <c r="O29" i="9"/>
  <c r="Q29" i="9"/>
  <c r="R29" i="9"/>
  <c r="S29" i="9"/>
  <c r="B36" i="31" l="1"/>
  <c r="D12" i="15"/>
  <c r="E12" i="15" s="1"/>
  <c r="F12" i="15" s="1"/>
  <c r="F14" i="15"/>
  <c r="H13" i="15"/>
  <c r="J13" i="15" s="1"/>
  <c r="L13" i="15" s="1"/>
  <c r="H12" i="15"/>
  <c r="R14" i="15"/>
  <c r="P12" i="15"/>
  <c r="Q12" i="15" s="1"/>
  <c r="R12" i="15" s="1"/>
  <c r="I5" i="14"/>
  <c r="I6" i="14"/>
  <c r="I7" i="14"/>
  <c r="I9" i="14"/>
  <c r="I10" i="14"/>
  <c r="I4" i="14"/>
  <c r="I11" i="14"/>
  <c r="P18" i="14"/>
  <c r="P19" i="14"/>
  <c r="R19" i="14" s="1"/>
  <c r="H8" i="14"/>
  <c r="H11" i="14"/>
  <c r="H7" i="14"/>
  <c r="H9" i="14"/>
  <c r="H10" i="14"/>
  <c r="H6" i="14"/>
  <c r="H4" i="14"/>
  <c r="H5" i="14"/>
  <c r="J12" i="11" a="1"/>
  <c r="J16" i="11" s="1"/>
  <c r="P19" i="11"/>
  <c r="Q19" i="11"/>
  <c r="R19" i="11"/>
  <c r="P18" i="11"/>
  <c r="S19" i="11"/>
  <c r="Q18" i="11"/>
  <c r="P16" i="11"/>
  <c r="R18" i="11"/>
  <c r="Q16" i="11"/>
  <c r="S18" i="11"/>
  <c r="S17" i="11"/>
  <c r="R16" i="11"/>
  <c r="P17" i="11"/>
  <c r="R17" i="11"/>
  <c r="S16" i="11"/>
  <c r="Q17" i="11"/>
  <c r="T19" i="11"/>
  <c r="T18" i="11"/>
  <c r="T16" i="11"/>
  <c r="T17" i="11"/>
  <c r="K19" i="10" a="1"/>
  <c r="K20" i="10" s="1"/>
  <c r="J17" i="10"/>
  <c r="G17" i="10"/>
  <c r="L19" i="10" s="1" a="1"/>
  <c r="A19" i="10" a="1"/>
  <c r="P27" i="9"/>
  <c r="R26" i="9"/>
  <c r="T28" i="9"/>
  <c r="K20" i="9"/>
  <c r="P28" i="9"/>
  <c r="K24" i="9"/>
  <c r="Q28" i="9"/>
  <c r="D26" i="9"/>
  <c r="K26" i="9" s="1"/>
  <c r="I21" i="9"/>
  <c r="F21" i="9"/>
  <c r="K25" i="9"/>
  <c r="F25" i="9"/>
  <c r="J25" i="9"/>
  <c r="H25" i="9"/>
  <c r="H26" i="9"/>
  <c r="J26" i="9"/>
  <c r="D23" i="9"/>
  <c r="K23" i="9" s="1"/>
  <c r="E25" i="9"/>
  <c r="K21" i="9"/>
  <c r="J20" i="9"/>
  <c r="N5" i="9"/>
  <c r="V29" i="9"/>
  <c r="U29" i="9"/>
  <c r="I24" i="9"/>
  <c r="J21" i="9"/>
  <c r="H20" i="9"/>
  <c r="T27" i="9"/>
  <c r="I25" i="9"/>
  <c r="H21" i="9"/>
  <c r="G29" i="9"/>
  <c r="E29" i="9"/>
  <c r="R27" i="9"/>
  <c r="I22" i="9"/>
  <c r="G21" i="9"/>
  <c r="F20" i="9"/>
  <c r="V28" i="9"/>
  <c r="G27" i="9"/>
  <c r="E21" i="9"/>
  <c r="P26" i="9"/>
  <c r="U28" i="9"/>
  <c r="O8" i="9"/>
  <c r="F29" i="9"/>
  <c r="H29" i="9"/>
  <c r="I29" i="9"/>
  <c r="J27" i="9"/>
  <c r="K27" i="9"/>
  <c r="H27" i="9"/>
  <c r="F27" i="9"/>
  <c r="K28" i="9"/>
  <c r="T29" i="9"/>
  <c r="F28" i="9"/>
  <c r="I27" i="9"/>
  <c r="K9" i="9"/>
  <c r="M9" i="9" s="1"/>
  <c r="P29" i="9"/>
  <c r="V27" i="9"/>
  <c r="E27" i="9"/>
  <c r="N8" i="9"/>
  <c r="U27" i="9"/>
  <c r="G23" i="9"/>
  <c r="S27" i="9"/>
  <c r="V26" i="9"/>
  <c r="F23" i="9"/>
  <c r="O4" i="9"/>
  <c r="K29" i="9"/>
  <c r="U26" i="9"/>
  <c r="E23" i="9"/>
  <c r="O7" i="9"/>
  <c r="N4" i="9"/>
  <c r="J29" i="9"/>
  <c r="Q27" i="9"/>
  <c r="T26" i="9"/>
  <c r="N7" i="9"/>
  <c r="S26" i="9"/>
  <c r="J28" i="9"/>
  <c r="Q26" i="9"/>
  <c r="O9" i="9"/>
  <c r="O6" i="9"/>
  <c r="H28" i="9"/>
  <c r="N6" i="9"/>
  <c r="B37" i="31" l="1"/>
  <c r="J28" i="11" a="1"/>
  <c r="J30" i="11" s="1"/>
  <c r="J21" i="11" s="1"/>
  <c r="L21" i="11" s="1"/>
  <c r="L14" i="15"/>
  <c r="J12" i="15"/>
  <c r="K12" i="15" s="1"/>
  <c r="L12" i="15" s="1"/>
  <c r="J12" i="11"/>
  <c r="J14" i="11"/>
  <c r="J4" i="11" s="1"/>
  <c r="L4" i="11" s="1"/>
  <c r="J17" i="11"/>
  <c r="J13" i="11"/>
  <c r="J3" i="11" s="1"/>
  <c r="L3" i="11" s="1"/>
  <c r="P6" i="14"/>
  <c r="P7" i="14"/>
  <c r="R7" i="14" s="1"/>
  <c r="T19" i="14"/>
  <c r="S14" i="14"/>
  <c r="T14" i="14" s="1"/>
  <c r="S15" i="14"/>
  <c r="T15" i="14" s="1"/>
  <c r="S17" i="14"/>
  <c r="T17" i="14" s="1"/>
  <c r="S16" i="14"/>
  <c r="T16" i="14" s="1"/>
  <c r="P20" i="14"/>
  <c r="T20" i="14"/>
  <c r="R18" i="14"/>
  <c r="S18" i="14" s="1"/>
  <c r="T18" i="14" s="1"/>
  <c r="J15" i="11"/>
  <c r="J5" i="11" s="1"/>
  <c r="L5" i="11" s="1"/>
  <c r="N20" i="10"/>
  <c r="M25" i="10"/>
  <c r="Q27" i="10"/>
  <c r="L20" i="10"/>
  <c r="U25" i="10"/>
  <c r="O26" i="10"/>
  <c r="M21" i="10"/>
  <c r="S27" i="10"/>
  <c r="M28" i="10"/>
  <c r="P22" i="10"/>
  <c r="M27" i="10"/>
  <c r="U28" i="10"/>
  <c r="Q23" i="10"/>
  <c r="N28" i="10"/>
  <c r="Q19" i="10"/>
  <c r="U24" i="10"/>
  <c r="N21" i="10"/>
  <c r="O23" i="10"/>
  <c r="L24" i="10"/>
  <c r="U22" i="10"/>
  <c r="L23" i="10"/>
  <c r="U21" i="10"/>
  <c r="P25" i="10"/>
  <c r="U26" i="10"/>
  <c r="R26" i="10"/>
  <c r="S26" i="10"/>
  <c r="L26" i="10"/>
  <c r="T25" i="10"/>
  <c r="T19" i="10"/>
  <c r="P26" i="10"/>
  <c r="T21" i="10"/>
  <c r="U27" i="10"/>
  <c r="O20" i="10"/>
  <c r="P27" i="10"/>
  <c r="S19" i="10"/>
  <c r="U23" i="10"/>
  <c r="T20" i="10"/>
  <c r="P21" i="10"/>
  <c r="Q22" i="10"/>
  <c r="Q26" i="10"/>
  <c r="Q20" i="10"/>
  <c r="R19" i="10"/>
  <c r="M26" i="10"/>
  <c r="O22" i="10"/>
  <c r="Q28" i="10"/>
  <c r="R21" i="10"/>
  <c r="N27" i="10"/>
  <c r="O21" i="10"/>
  <c r="N24" i="10"/>
  <c r="T24" i="10"/>
  <c r="L25" i="10"/>
  <c r="S23" i="10"/>
  <c r="P19" i="10"/>
  <c r="O25" i="10"/>
  <c r="U19" i="10"/>
  <c r="O24" i="10"/>
  <c r="R22" i="10"/>
  <c r="R23" i="10"/>
  <c r="M19" i="10"/>
  <c r="S22" i="10"/>
  <c r="L22" i="10"/>
  <c r="S24" i="10"/>
  <c r="S28" i="10"/>
  <c r="M23" i="10"/>
  <c r="Q24" i="10"/>
  <c r="M20" i="10"/>
  <c r="R20" i="10"/>
  <c r="T27" i="10"/>
  <c r="N26" i="10"/>
  <c r="U20" i="10"/>
  <c r="R28" i="10"/>
  <c r="R27" i="10"/>
  <c r="T26" i="10"/>
  <c r="S20" i="10"/>
  <c r="M22" i="10"/>
  <c r="N22" i="10"/>
  <c r="R25" i="10"/>
  <c r="L19" i="10"/>
  <c r="N25" i="10"/>
  <c r="S25" i="10"/>
  <c r="N19" i="10"/>
  <c r="M24" i="10"/>
  <c r="L21" i="10"/>
  <c r="P20" i="10"/>
  <c r="T22" i="10"/>
  <c r="R24" i="10"/>
  <c r="O19" i="10"/>
  <c r="O28" i="10"/>
  <c r="T23" i="10"/>
  <c r="Q25" i="10"/>
  <c r="T28" i="10"/>
  <c r="P23" i="10"/>
  <c r="O27" i="10"/>
  <c r="S21" i="10"/>
  <c r="P28" i="10"/>
  <c r="Q21" i="10"/>
  <c r="P24" i="10"/>
  <c r="L28" i="10"/>
  <c r="L27" i="10"/>
  <c r="N23" i="10"/>
  <c r="K22" i="10"/>
  <c r="K25" i="10"/>
  <c r="K24" i="10"/>
  <c r="K23" i="10"/>
  <c r="K28" i="10"/>
  <c r="K27" i="10"/>
  <c r="K21" i="10"/>
  <c r="K19" i="10"/>
  <c r="K26" i="10"/>
  <c r="B21" i="10"/>
  <c r="F23" i="10"/>
  <c r="A19" i="10"/>
  <c r="I20" i="10"/>
  <c r="C21" i="10"/>
  <c r="G23" i="10"/>
  <c r="B24" i="10"/>
  <c r="H26" i="10"/>
  <c r="C27" i="10"/>
  <c r="F19" i="10"/>
  <c r="E22" i="10"/>
  <c r="I22" i="10"/>
  <c r="B19" i="10"/>
  <c r="J20" i="10"/>
  <c r="D21" i="10"/>
  <c r="H23" i="10"/>
  <c r="C24" i="10"/>
  <c r="I26" i="10"/>
  <c r="D27" i="10"/>
  <c r="J25" i="10"/>
  <c r="C19" i="10"/>
  <c r="E21" i="10"/>
  <c r="I23" i="10"/>
  <c r="D24" i="10"/>
  <c r="J26" i="10"/>
  <c r="E27" i="10"/>
  <c r="B28" i="10"/>
  <c r="H21" i="10"/>
  <c r="I19" i="10"/>
  <c r="E25" i="10"/>
  <c r="H28" i="10"/>
  <c r="D19" i="10"/>
  <c r="F21" i="10"/>
  <c r="J23" i="10"/>
  <c r="E24" i="10"/>
  <c r="F27" i="10"/>
  <c r="A28" i="10"/>
  <c r="B25" i="10"/>
  <c r="C28" i="10"/>
  <c r="F28" i="10"/>
  <c r="H25" i="10"/>
  <c r="E19" i="10"/>
  <c r="G21" i="10"/>
  <c r="A22" i="10"/>
  <c r="F24" i="10"/>
  <c r="A25" i="10"/>
  <c r="G27" i="10"/>
  <c r="G24" i="10"/>
  <c r="H27" i="10"/>
  <c r="J24" i="10"/>
  <c r="I28" i="10"/>
  <c r="C23" i="10"/>
  <c r="I25" i="10"/>
  <c r="B22" i="10"/>
  <c r="G25" i="10"/>
  <c r="C26" i="10"/>
  <c r="F20" i="10"/>
  <c r="F26" i="10"/>
  <c r="G19" i="10"/>
  <c r="I21" i="10"/>
  <c r="C22" i="10"/>
  <c r="H24" i="10"/>
  <c r="C25" i="10"/>
  <c r="I27" i="10"/>
  <c r="D28" i="10"/>
  <c r="J21" i="10"/>
  <c r="D25" i="10"/>
  <c r="E28" i="10"/>
  <c r="A20" i="10"/>
  <c r="H19" i="10"/>
  <c r="D22" i="10"/>
  <c r="I24" i="10"/>
  <c r="J27" i="10"/>
  <c r="D20" i="10"/>
  <c r="D26" i="10"/>
  <c r="J22" i="10"/>
  <c r="E20" i="10"/>
  <c r="E26" i="10"/>
  <c r="G26" i="10"/>
  <c r="J19" i="10"/>
  <c r="B20" i="10"/>
  <c r="F22" i="10"/>
  <c r="F25" i="10"/>
  <c r="A26" i="10"/>
  <c r="G28" i="10"/>
  <c r="C20" i="10"/>
  <c r="G22" i="10"/>
  <c r="A23" i="10"/>
  <c r="B26" i="10"/>
  <c r="B23" i="10"/>
  <c r="J28" i="10"/>
  <c r="B27" i="10"/>
  <c r="H22" i="10"/>
  <c r="D23" i="10"/>
  <c r="G20" i="10"/>
  <c r="A21" i="10"/>
  <c r="E23" i="10"/>
  <c r="A27" i="10"/>
  <c r="H20" i="10"/>
  <c r="A24" i="10"/>
  <c r="N9" i="9"/>
  <c r="I11" i="9" s="1" a="1"/>
  <c r="I26" i="9"/>
  <c r="F26" i="9"/>
  <c r="M31" i="9" a="1"/>
  <c r="S39" i="9" s="1"/>
  <c r="H23" i="9"/>
  <c r="I23" i="9"/>
  <c r="J23" i="9"/>
  <c r="B38" i="31" l="1"/>
  <c r="J31" i="11"/>
  <c r="J22" i="11" s="1"/>
  <c r="L22" i="11" s="1"/>
  <c r="J29" i="11"/>
  <c r="J20" i="11" s="1"/>
  <c r="L20" i="11" s="1"/>
  <c r="J28" i="11"/>
  <c r="H3" i="11" a="1"/>
  <c r="H13" i="11" s="1"/>
  <c r="T7" i="14"/>
  <c r="S3" i="14"/>
  <c r="T3" i="14" s="1"/>
  <c r="S5" i="14"/>
  <c r="T5" i="14" s="1"/>
  <c r="S4" i="14"/>
  <c r="T4" i="14" s="1"/>
  <c r="R6" i="14"/>
  <c r="S6" i="14" s="1"/>
  <c r="T6" i="14" s="1"/>
  <c r="T8" i="14"/>
  <c r="N8" i="10" a="1"/>
  <c r="N11" i="10" s="1"/>
  <c r="L17" i="9"/>
  <c r="K11" i="9"/>
  <c r="J14" i="9"/>
  <c r="I13" i="9"/>
  <c r="M13" i="9"/>
  <c r="L16" i="9"/>
  <c r="J12" i="9"/>
  <c r="K14" i="9"/>
  <c r="J13" i="9"/>
  <c r="M16" i="9"/>
  <c r="L15" i="9"/>
  <c r="L12" i="9"/>
  <c r="I11" i="9"/>
  <c r="N16" i="9"/>
  <c r="K13" i="9"/>
  <c r="O14" i="9"/>
  <c r="O17" i="9"/>
  <c r="J11" i="9"/>
  <c r="K16" i="9"/>
  <c r="M14" i="9"/>
  <c r="O11" i="9"/>
  <c r="I14" i="9"/>
  <c r="J15" i="9"/>
  <c r="K15" i="9"/>
  <c r="O15" i="9"/>
  <c r="I12" i="9"/>
  <c r="L11" i="9"/>
  <c r="N13" i="9"/>
  <c r="M12" i="9"/>
  <c r="J17" i="9"/>
  <c r="L13" i="9"/>
  <c r="L14" i="9"/>
  <c r="M17" i="9"/>
  <c r="I17" i="9"/>
  <c r="O16" i="9"/>
  <c r="M15" i="9"/>
  <c r="N12" i="9"/>
  <c r="I15" i="9"/>
  <c r="O12" i="9"/>
  <c r="N17" i="9"/>
  <c r="I16" i="9"/>
  <c r="N14" i="9"/>
  <c r="M11" i="9"/>
  <c r="O13" i="9"/>
  <c r="J16" i="9"/>
  <c r="N11" i="9"/>
  <c r="K17" i="9"/>
  <c r="K12" i="9"/>
  <c r="N15" i="9"/>
  <c r="B31" i="9" a="1"/>
  <c r="B35" i="9" s="1"/>
  <c r="V37" i="9"/>
  <c r="T37" i="9"/>
  <c r="Q34" i="9"/>
  <c r="V38" i="9"/>
  <c r="N31" i="9"/>
  <c r="Q37" i="9"/>
  <c r="N37" i="9"/>
  <c r="P34" i="9"/>
  <c r="R35" i="9"/>
  <c r="T34" i="9"/>
  <c r="N35" i="9"/>
  <c r="V39" i="9"/>
  <c r="S33" i="9"/>
  <c r="P31" i="9"/>
  <c r="U35" i="9"/>
  <c r="Q32" i="9"/>
  <c r="M34" i="9"/>
  <c r="V35" i="9"/>
  <c r="O39" i="9"/>
  <c r="V32" i="9"/>
  <c r="Q39" i="9"/>
  <c r="O37" i="9"/>
  <c r="U40" i="9"/>
  <c r="N36" i="9"/>
  <c r="O40" i="9"/>
  <c r="Q35" i="9"/>
  <c r="Q31" i="9"/>
  <c r="U36" i="9"/>
  <c r="N32" i="9"/>
  <c r="T33" i="9"/>
  <c r="Q33" i="9"/>
  <c r="N33" i="9"/>
  <c r="S38" i="9"/>
  <c r="O36" i="9"/>
  <c r="O38" i="9"/>
  <c r="U32" i="9"/>
  <c r="R32" i="9"/>
  <c r="S36" i="9"/>
  <c r="U37" i="9"/>
  <c r="O35" i="9"/>
  <c r="Q36" i="9"/>
  <c r="R34" i="9"/>
  <c r="U31" i="9"/>
  <c r="M31" i="9"/>
  <c r="P33" i="9"/>
  <c r="O32" i="9"/>
  <c r="V40" i="9"/>
  <c r="Q38" i="9"/>
  <c r="V31" i="9"/>
  <c r="P40" i="9"/>
  <c r="S31" i="9"/>
  <c r="S34" i="9"/>
  <c r="R38" i="9"/>
  <c r="V33" i="9"/>
  <c r="R36" i="9"/>
  <c r="P37" i="9"/>
  <c r="M35" i="9"/>
  <c r="R31" i="9"/>
  <c r="M40" i="9"/>
  <c r="N38" i="9"/>
  <c r="O34" i="9"/>
  <c r="M39" i="9"/>
  <c r="T39" i="9"/>
  <c r="U38" i="9"/>
  <c r="O31" i="9"/>
  <c r="S40" i="9"/>
  <c r="R40" i="9"/>
  <c r="S35" i="9"/>
  <c r="M33" i="9"/>
  <c r="P35" i="9"/>
  <c r="S37" i="9"/>
  <c r="R37" i="9"/>
  <c r="T36" i="9"/>
  <c r="O33" i="9"/>
  <c r="U34" i="9"/>
  <c r="M32" i="9"/>
  <c r="V36" i="9"/>
  <c r="S32" i="9"/>
  <c r="Q40" i="9"/>
  <c r="T35" i="9"/>
  <c r="P39" i="9"/>
  <c r="M38" i="9"/>
  <c r="V34" i="9"/>
  <c r="M36" i="9"/>
  <c r="P36" i="9"/>
  <c r="T38" i="9"/>
  <c r="N34" i="9"/>
  <c r="P38" i="9"/>
  <c r="U39" i="9"/>
  <c r="P32" i="9"/>
  <c r="U33" i="9"/>
  <c r="T32" i="9"/>
  <c r="N40" i="9"/>
  <c r="R39" i="9"/>
  <c r="N39" i="9"/>
  <c r="R33" i="9"/>
  <c r="T40" i="9"/>
  <c r="M37" i="9"/>
  <c r="T31" i="9"/>
  <c r="H3" i="8" a="1"/>
  <c r="H3" i="8" s="1"/>
  <c r="B39" i="31" l="1"/>
  <c r="T3" i="11" a="1"/>
  <c r="T13" i="11" s="1"/>
  <c r="H4" i="11"/>
  <c r="H5" i="11"/>
  <c r="H12" i="11"/>
  <c r="H14" i="11"/>
  <c r="H3" i="11"/>
  <c r="H11" i="11"/>
  <c r="H6" i="11"/>
  <c r="H7" i="11"/>
  <c r="H10" i="11"/>
  <c r="H8" i="11"/>
  <c r="H9" i="11"/>
  <c r="N12" i="10"/>
  <c r="N17" i="10"/>
  <c r="N13" i="10"/>
  <c r="N16" i="10"/>
  <c r="N9" i="10"/>
  <c r="N15" i="10"/>
  <c r="N8" i="10"/>
  <c r="N14" i="10"/>
  <c r="N10" i="10"/>
  <c r="I32" i="9"/>
  <c r="C32" i="9"/>
  <c r="C34" i="9"/>
  <c r="J38" i="9"/>
  <c r="F33" i="9"/>
  <c r="D39" i="9"/>
  <c r="C31" i="9"/>
  <c r="K35" i="9"/>
  <c r="I37" i="9"/>
  <c r="G37" i="9"/>
  <c r="E31" i="9"/>
  <c r="B40" i="9"/>
  <c r="B36" i="9"/>
  <c r="J40" i="9"/>
  <c r="E37" i="9"/>
  <c r="B38" i="9"/>
  <c r="F31" i="9"/>
  <c r="B34" i="9"/>
  <c r="C35" i="9"/>
  <c r="H40" i="9"/>
  <c r="F37" i="9"/>
  <c r="G31" i="9"/>
  <c r="G40" i="9"/>
  <c r="H37" i="9"/>
  <c r="C38" i="9"/>
  <c r="K39" i="9"/>
  <c r="H39" i="9"/>
  <c r="C33" i="9"/>
  <c r="G33" i="9"/>
  <c r="D33" i="9"/>
  <c r="B39" i="9"/>
  <c r="D37" i="9"/>
  <c r="H36" i="9"/>
  <c r="C36" i="9"/>
  <c r="D38" i="9"/>
  <c r="J35" i="9"/>
  <c r="I38" i="9"/>
  <c r="D32" i="9"/>
  <c r="F38" i="9"/>
  <c r="G36" i="9"/>
  <c r="D34" i="9"/>
  <c r="K31" i="9"/>
  <c r="E33" i="9"/>
  <c r="B32" i="9"/>
  <c r="K38" i="9"/>
  <c r="J32" i="9"/>
  <c r="K36" i="9"/>
  <c r="H33" i="9"/>
  <c r="H32" i="9"/>
  <c r="E34" i="9"/>
  <c r="G34" i="9"/>
  <c r="C40" i="9"/>
  <c r="I34" i="9"/>
  <c r="I31" i="9"/>
  <c r="E39" i="9"/>
  <c r="J33" i="9"/>
  <c r="J31" i="9"/>
  <c r="F39" i="9"/>
  <c r="E36" i="9"/>
  <c r="H38" i="9"/>
  <c r="F32" i="9"/>
  <c r="G35" i="9"/>
  <c r="D40" i="9"/>
  <c r="B37" i="9"/>
  <c r="K40" i="9"/>
  <c r="F40" i="9"/>
  <c r="K34" i="9"/>
  <c r="D35" i="9"/>
  <c r="K37" i="9"/>
  <c r="G32" i="9"/>
  <c r="I35" i="9"/>
  <c r="E38" i="9"/>
  <c r="E32" i="9"/>
  <c r="K33" i="9"/>
  <c r="D36" i="9"/>
  <c r="D31" i="9"/>
  <c r="F36" i="9"/>
  <c r="J34" i="9"/>
  <c r="E40" i="9"/>
  <c r="J36" i="9"/>
  <c r="H34" i="9"/>
  <c r="J39" i="9"/>
  <c r="B31" i="9"/>
  <c r="G38" i="9"/>
  <c r="K32" i="9"/>
  <c r="C39" i="9"/>
  <c r="H35" i="9"/>
  <c r="J37" i="9"/>
  <c r="I33" i="9"/>
  <c r="B33" i="9"/>
  <c r="E35" i="9"/>
  <c r="G39" i="9"/>
  <c r="C37" i="9"/>
  <c r="I36" i="9"/>
  <c r="H31" i="9"/>
  <c r="F34" i="9"/>
  <c r="I39" i="9"/>
  <c r="I40" i="9"/>
  <c r="F35" i="9"/>
  <c r="H6" i="8"/>
  <c r="H5" i="8"/>
  <c r="H4" i="8"/>
  <c r="B3" i="7"/>
  <c r="C3" i="7" s="1"/>
  <c r="L4" i="7"/>
  <c r="O4" i="7"/>
  <c r="O5" i="7"/>
  <c r="T10" i="11" l="1"/>
  <c r="T4" i="11"/>
  <c r="J7" i="11"/>
  <c r="N9" i="11" s="1"/>
  <c r="O9" i="11" s="1"/>
  <c r="B40" i="31"/>
  <c r="T3" i="11"/>
  <c r="T5" i="11"/>
  <c r="T6" i="11"/>
  <c r="T7" i="11"/>
  <c r="T8" i="11"/>
  <c r="T12" i="11"/>
  <c r="T11" i="11"/>
  <c r="T9" i="11"/>
  <c r="T14" i="11"/>
  <c r="L3" i="10" a="1"/>
  <c r="L10" i="10" s="1"/>
  <c r="J8" i="11"/>
  <c r="L8" i="11" s="1"/>
  <c r="M5" i="11" s="1"/>
  <c r="N5" i="11" s="1"/>
  <c r="O5" i="11" s="1"/>
  <c r="H7" i="8"/>
  <c r="E3" i="7"/>
  <c r="B4" i="7"/>
  <c r="D4" i="7" s="1"/>
  <c r="D3" i="7"/>
  <c r="N6" i="7"/>
  <c r="O6" i="7"/>
  <c r="K12" i="11" a="1"/>
  <c r="L7" i="11" l="1"/>
  <c r="J6" i="11"/>
  <c r="L6" i="11" s="1"/>
  <c r="B41" i="31"/>
  <c r="J24" i="11"/>
  <c r="L24" i="11" s="1"/>
  <c r="N24" i="11" s="1"/>
  <c r="O24" i="11" s="1"/>
  <c r="J23" i="11" a="1"/>
  <c r="J23" i="11" s="1"/>
  <c r="L23" i="11" s="1"/>
  <c r="M23" i="11" s="1"/>
  <c r="N23" i="11" s="1"/>
  <c r="O23" i="11" s="1"/>
  <c r="L14" i="10"/>
  <c r="L3" i="10"/>
  <c r="L15" i="10"/>
  <c r="L12" i="10"/>
  <c r="L5" i="10"/>
  <c r="L11" i="10"/>
  <c r="L7" i="10"/>
  <c r="L13" i="10"/>
  <c r="L8" i="10"/>
  <c r="L4" i="10"/>
  <c r="L6" i="10"/>
  <c r="L16" i="10"/>
  <c r="L9" i="10"/>
  <c r="L17" i="10"/>
  <c r="M6" i="11"/>
  <c r="N6" i="11" s="1"/>
  <c r="O6" i="11" s="1"/>
  <c r="M4" i="11"/>
  <c r="N4" i="11" s="1"/>
  <c r="O4" i="11" s="1"/>
  <c r="M7" i="11"/>
  <c r="N7" i="11" s="1"/>
  <c r="O7" i="11" s="1"/>
  <c r="M3" i="11"/>
  <c r="N3" i="11" s="1"/>
  <c r="O3" i="11" s="1"/>
  <c r="N8" i="11"/>
  <c r="O8" i="11" s="1"/>
  <c r="K15" i="11"/>
  <c r="M15" i="11" s="1"/>
  <c r="N15" i="11" s="1"/>
  <c r="O15" i="11" s="1"/>
  <c r="K16" i="11"/>
  <c r="M16" i="11" s="1"/>
  <c r="N16" i="11" s="1"/>
  <c r="O16" i="11" s="1"/>
  <c r="K12" i="11"/>
  <c r="M12" i="11" s="1"/>
  <c r="N12" i="11" s="1"/>
  <c r="O12" i="11" s="1"/>
  <c r="K13" i="11"/>
  <c r="M13" i="11" s="1"/>
  <c r="N13" i="11" s="1"/>
  <c r="O13" i="11" s="1"/>
  <c r="K14" i="11"/>
  <c r="M14" i="11" s="1"/>
  <c r="N14" i="11" s="1"/>
  <c r="O14" i="11" s="1"/>
  <c r="K17" i="11"/>
  <c r="M17" i="11" s="1"/>
  <c r="N17" i="11" s="1"/>
  <c r="O17" i="11" s="1"/>
  <c r="M22" i="11"/>
  <c r="N22" i="11" s="1"/>
  <c r="O22" i="11" s="1"/>
  <c r="P6" i="7"/>
  <c r="E4" i="7"/>
  <c r="C4" i="7"/>
  <c r="B5" i="7"/>
  <c r="O9" i="7"/>
  <c r="O10" i="7"/>
  <c r="N11" i="7"/>
  <c r="O11" i="7"/>
  <c r="C13" i="7"/>
  <c r="D13" i="7"/>
  <c r="E13" i="7"/>
  <c r="K28" i="11" a="1"/>
  <c r="M20" i="11" l="1"/>
  <c r="N20" i="11" s="1"/>
  <c r="O20" i="11" s="1"/>
  <c r="M21" i="11"/>
  <c r="N21" i="11" s="1"/>
  <c r="O21" i="11" s="1"/>
  <c r="N25" i="11"/>
  <c r="O25" i="11" s="1"/>
  <c r="B42" i="31"/>
  <c r="K28" i="11"/>
  <c r="M28" i="11" s="1"/>
  <c r="N28" i="11" s="1"/>
  <c r="O28" i="11" s="1"/>
  <c r="K30" i="11"/>
  <c r="K31" i="11"/>
  <c r="K29" i="11"/>
  <c r="N4" i="10"/>
  <c r="P4" i="10" s="1"/>
  <c r="R4" i="10" s="1"/>
  <c r="N3" i="10"/>
  <c r="R5" i="10" s="1"/>
  <c r="M30" i="11"/>
  <c r="N30" i="11" s="1"/>
  <c r="O30" i="11" s="1"/>
  <c r="M31" i="11"/>
  <c r="N31" i="11" s="1"/>
  <c r="O31" i="11" s="1"/>
  <c r="M29" i="11"/>
  <c r="N29" i="11" s="1"/>
  <c r="O29" i="11" s="1"/>
  <c r="D5" i="7"/>
  <c r="C5" i="7"/>
  <c r="E5" i="7"/>
  <c r="B6" i="7"/>
  <c r="P11" i="7"/>
  <c r="B14" i="7"/>
  <c r="C14" i="7" s="1"/>
  <c r="O14" i="7"/>
  <c r="O8" i="10" a="1"/>
  <c r="B43" i="31" l="1"/>
  <c r="O8" i="10"/>
  <c r="P8" i="10" s="1"/>
  <c r="Q8" i="10" s="1"/>
  <c r="R8" i="10" s="1"/>
  <c r="O9" i="10"/>
  <c r="P9" i="10" s="1"/>
  <c r="Q9" i="10" s="1"/>
  <c r="R9" i="10" s="1"/>
  <c r="O10" i="10"/>
  <c r="P10" i="10" s="1"/>
  <c r="Q10" i="10" s="1"/>
  <c r="R10" i="10" s="1"/>
  <c r="O11" i="10"/>
  <c r="P11" i="10" s="1"/>
  <c r="Q11" i="10" s="1"/>
  <c r="R11" i="10" s="1"/>
  <c r="O16" i="10"/>
  <c r="P16" i="10" s="1"/>
  <c r="Q16" i="10" s="1"/>
  <c r="R16" i="10" s="1"/>
  <c r="O15" i="10"/>
  <c r="O17" i="10"/>
  <c r="P17" i="10" s="1"/>
  <c r="Q17" i="10" s="1"/>
  <c r="R17" i="10" s="1"/>
  <c r="O13" i="10"/>
  <c r="O14" i="10"/>
  <c r="O12" i="10"/>
  <c r="P3" i="10"/>
  <c r="Q3" i="10" s="1"/>
  <c r="R3" i="10" s="1"/>
  <c r="P14" i="10"/>
  <c r="Q14" i="10" s="1"/>
  <c r="R14" i="10" s="1"/>
  <c r="P13" i="10"/>
  <c r="Q13" i="10" s="1"/>
  <c r="R13" i="10" s="1"/>
  <c r="P15" i="10"/>
  <c r="Q15" i="10" s="1"/>
  <c r="R15" i="10" s="1"/>
  <c r="P12" i="10"/>
  <c r="Q12" i="10" s="1"/>
  <c r="R12" i="10" s="1"/>
  <c r="D6" i="7"/>
  <c r="C6" i="7"/>
  <c r="E6" i="7"/>
  <c r="B7" i="7"/>
  <c r="E14" i="7"/>
  <c r="D14" i="7"/>
  <c r="B15" i="7"/>
  <c r="C15" i="7" s="1"/>
  <c r="O15" i="7"/>
  <c r="B16" i="7"/>
  <c r="B17" i="7" s="1"/>
  <c r="N16" i="7"/>
  <c r="O16" i="7"/>
  <c r="B44" i="31" l="1"/>
  <c r="C16" i="7"/>
  <c r="C7" i="7"/>
  <c r="B8" i="7"/>
  <c r="D7" i="7"/>
  <c r="E7" i="7"/>
  <c r="D15" i="7"/>
  <c r="P16" i="7"/>
  <c r="E15" i="7"/>
  <c r="D17" i="7"/>
  <c r="C17" i="7"/>
  <c r="B18" i="7"/>
  <c r="E17" i="7"/>
  <c r="E16" i="7"/>
  <c r="D16" i="7"/>
  <c r="B45" i="31" l="1"/>
  <c r="B9" i="7"/>
  <c r="D8" i="7"/>
  <c r="E8" i="7"/>
  <c r="C8" i="7"/>
  <c r="C18" i="7"/>
  <c r="D18" i="7"/>
  <c r="E18" i="7"/>
  <c r="B19" i="7"/>
  <c r="B20" i="7" s="1"/>
  <c r="O20" i="7"/>
  <c r="N21" i="7"/>
  <c r="O21" i="7"/>
  <c r="B46" i="31" l="1"/>
  <c r="P21" i="7"/>
  <c r="C9" i="7"/>
  <c r="B10" i="7"/>
  <c r="E9" i="7"/>
  <c r="D9" i="7"/>
  <c r="B21" i="7"/>
  <c r="D20" i="7"/>
  <c r="B22" i="7"/>
  <c r="C21" i="7"/>
  <c r="D21" i="7"/>
  <c r="E21" i="7"/>
  <c r="E20" i="7"/>
  <c r="C20" i="7"/>
  <c r="C19" i="7"/>
  <c r="D19" i="7"/>
  <c r="E19" i="7"/>
  <c r="B47" i="31" l="1"/>
  <c r="B11" i="7"/>
  <c r="C10" i="7"/>
  <c r="D10" i="7"/>
  <c r="E10" i="7"/>
  <c r="C22" i="7"/>
  <c r="D22" i="7"/>
  <c r="E22" i="7"/>
  <c r="B23" i="7"/>
  <c r="B48" i="31" l="1"/>
  <c r="B12" i="7"/>
  <c r="D11" i="7"/>
  <c r="C11" i="7"/>
  <c r="E11" i="7"/>
  <c r="C23" i="7"/>
  <c r="D23" i="7"/>
  <c r="E23" i="7"/>
  <c r="T4" i="7" a="1"/>
  <c r="B49" i="31" l="1"/>
  <c r="T4" i="7"/>
  <c r="E12" i="7"/>
  <c r="C12" i="7"/>
  <c r="D12" i="7"/>
  <c r="T9" i="7" a="1"/>
  <c r="T19" i="7" a="1"/>
  <c r="T14" i="7" a="1"/>
  <c r="B50" i="31" l="1"/>
  <c r="T14" i="7"/>
  <c r="T9" i="7"/>
  <c r="T19" i="7"/>
  <c r="H3" i="6"/>
  <c r="I3" i="6"/>
  <c r="L3" i="6" s="1"/>
  <c r="H4" i="6"/>
  <c r="K4" i="6" s="1"/>
  <c r="I4" i="6"/>
  <c r="H5" i="6"/>
  <c r="I5" i="6"/>
  <c r="L5" i="6" s="1"/>
  <c r="H6" i="6"/>
  <c r="K6" i="6" s="1"/>
  <c r="I6" i="6"/>
  <c r="H7" i="6"/>
  <c r="K7" i="6" s="1"/>
  <c r="I7" i="6"/>
  <c r="H8" i="6"/>
  <c r="K8" i="6" s="1"/>
  <c r="I8" i="6"/>
  <c r="L8" i="6" s="1"/>
  <c r="H9" i="6"/>
  <c r="K9" i="6" s="1"/>
  <c r="I9" i="6"/>
  <c r="H10" i="6"/>
  <c r="K10" i="6" s="1"/>
  <c r="I10" i="6"/>
  <c r="H11" i="6"/>
  <c r="K11" i="6" s="1"/>
  <c r="I11" i="6"/>
  <c r="H12" i="6"/>
  <c r="K12" i="6" s="1"/>
  <c r="I12" i="6"/>
  <c r="H13" i="6"/>
  <c r="K13" i="6" s="1"/>
  <c r="I13" i="6"/>
  <c r="H14" i="6"/>
  <c r="I14" i="6"/>
  <c r="L14" i="6" s="1"/>
  <c r="B15" i="6"/>
  <c r="C15" i="6"/>
  <c r="D15" i="6"/>
  <c r="G15" i="6"/>
  <c r="B16" i="6"/>
  <c r="C16" i="6"/>
  <c r="D16" i="6"/>
  <c r="G16" i="6"/>
  <c r="R20" i="6"/>
  <c r="Q21" i="6"/>
  <c r="R21" i="6"/>
  <c r="B51" i="31" l="1"/>
  <c r="J3" i="6"/>
  <c r="J5" i="6"/>
  <c r="J4" i="6"/>
  <c r="J10" i="6"/>
  <c r="K3" i="6"/>
  <c r="J12" i="6"/>
  <c r="K5" i="6"/>
  <c r="J6" i="6"/>
  <c r="F14" i="6"/>
  <c r="J11" i="6"/>
  <c r="J14" i="6"/>
  <c r="J9" i="6"/>
  <c r="J13" i="6"/>
  <c r="H15" i="6"/>
  <c r="L4" i="6"/>
  <c r="J8" i="6"/>
  <c r="S21" i="6"/>
  <c r="F8" i="6"/>
  <c r="I16" i="6"/>
  <c r="H16" i="6"/>
  <c r="F9" i="6"/>
  <c r="F7" i="6"/>
  <c r="F6" i="6"/>
  <c r="F5" i="6"/>
  <c r="F4" i="6"/>
  <c r="L12" i="6"/>
  <c r="L11" i="6"/>
  <c r="L10" i="6"/>
  <c r="L13" i="6"/>
  <c r="F3" i="6"/>
  <c r="K14" i="6"/>
  <c r="L9" i="6"/>
  <c r="L7" i="6"/>
  <c r="I15" i="6"/>
  <c r="F12" i="6"/>
  <c r="F11" i="6"/>
  <c r="F10" i="6"/>
  <c r="F13" i="6"/>
  <c r="J7" i="6"/>
  <c r="L6" i="6"/>
  <c r="P32" i="6"/>
  <c r="P30" i="6"/>
  <c r="P31" i="6"/>
  <c r="P29" i="6"/>
  <c r="P28" i="6" a="1"/>
  <c r="B52" i="31" l="1"/>
  <c r="K16" i="6"/>
  <c r="P9" i="6" s="1"/>
  <c r="J15" i="6"/>
  <c r="P28" i="6"/>
  <c r="M4" i="6"/>
  <c r="M8" i="6"/>
  <c r="M5" i="6"/>
  <c r="M13" i="6"/>
  <c r="M10" i="6"/>
  <c r="M6" i="6"/>
  <c r="M11" i="6"/>
  <c r="M9" i="6"/>
  <c r="M12" i="6"/>
  <c r="N14" i="6"/>
  <c r="M7" i="6"/>
  <c r="M3" i="6"/>
  <c r="J16" i="6"/>
  <c r="B19" i="6" a="1"/>
  <c r="B23" i="6" s="1"/>
  <c r="M14" i="6"/>
  <c r="N6" i="6"/>
  <c r="N8" i="6"/>
  <c r="N10" i="6"/>
  <c r="N11" i="6"/>
  <c r="N12" i="6"/>
  <c r="N3" i="6"/>
  <c r="N13" i="6"/>
  <c r="N4" i="6"/>
  <c r="F16" i="6"/>
  <c r="L16" i="6"/>
  <c r="Q10" i="6" s="1"/>
  <c r="N7" i="6"/>
  <c r="N5" i="6"/>
  <c r="N9" i="6"/>
  <c r="N19" i="6" a="1"/>
  <c r="B53" i="31" l="1"/>
  <c r="O10" i="6"/>
  <c r="P13" i="6"/>
  <c r="P12" i="6"/>
  <c r="P4" i="6"/>
  <c r="P7" i="6"/>
  <c r="P11" i="6"/>
  <c r="P6" i="6"/>
  <c r="P14" i="6"/>
  <c r="P8" i="6"/>
  <c r="P10" i="6"/>
  <c r="P3" i="6"/>
  <c r="P5" i="6"/>
  <c r="O4" i="6"/>
  <c r="O3" i="6"/>
  <c r="O13" i="6"/>
  <c r="M15" i="6"/>
  <c r="O5" i="6"/>
  <c r="M16" i="6"/>
  <c r="O11" i="6"/>
  <c r="O7" i="6"/>
  <c r="O6" i="6"/>
  <c r="O9" i="6"/>
  <c r="O12" i="6"/>
  <c r="Q12" i="6"/>
  <c r="O8" i="6"/>
  <c r="Q6" i="6"/>
  <c r="O14" i="6"/>
  <c r="G21" i="6"/>
  <c r="B22" i="6"/>
  <c r="D24" i="6"/>
  <c r="D22" i="6"/>
  <c r="C22" i="6"/>
  <c r="C21" i="6"/>
  <c r="B20" i="6"/>
  <c r="F20" i="6"/>
  <c r="C24" i="6"/>
  <c r="F24" i="6"/>
  <c r="F23" i="6"/>
  <c r="C23" i="6"/>
  <c r="G20" i="6"/>
  <c r="D20" i="6"/>
  <c r="E23" i="6"/>
  <c r="B19" i="6"/>
  <c r="G24" i="6"/>
  <c r="C20" i="6"/>
  <c r="B21" i="6"/>
  <c r="B24" i="6"/>
  <c r="F21" i="6"/>
  <c r="D19" i="6"/>
  <c r="F22" i="6"/>
  <c r="G22" i="6"/>
  <c r="C19" i="6"/>
  <c r="F19" i="6"/>
  <c r="E21" i="6"/>
  <c r="D23" i="6"/>
  <c r="E22" i="6"/>
  <c r="E19" i="6"/>
  <c r="D21" i="6"/>
  <c r="E20" i="6"/>
  <c r="G19" i="6"/>
  <c r="E24" i="6"/>
  <c r="G23" i="6"/>
  <c r="Q9" i="6"/>
  <c r="Q7" i="6"/>
  <c r="N16" i="6"/>
  <c r="N15" i="6"/>
  <c r="Q11" i="6"/>
  <c r="N23" i="6"/>
  <c r="N19" i="6"/>
  <c r="N20" i="6"/>
  <c r="N21" i="6"/>
  <c r="N22" i="6"/>
  <c r="N24" i="6"/>
  <c r="Q14" i="6"/>
  <c r="Q3" i="6"/>
  <c r="Q5" i="6"/>
  <c r="Q8" i="6"/>
  <c r="Q4" i="6"/>
  <c r="Q13" i="6"/>
  <c r="P16" i="6"/>
  <c r="B54" i="31" l="1"/>
  <c r="O16" i="6"/>
  <c r="B27" i="6" a="1"/>
  <c r="F31" i="6" s="1"/>
  <c r="O15" i="6"/>
  <c r="Q16" i="6"/>
  <c r="O20" i="6" a="1"/>
  <c r="H20" i="6" a="1"/>
  <c r="B55" i="31" l="1"/>
  <c r="D27" i="6"/>
  <c r="B31" i="6"/>
  <c r="D30" i="6"/>
  <c r="B29" i="6"/>
  <c r="F27" i="6"/>
  <c r="C32" i="6"/>
  <c r="D31" i="6"/>
  <c r="D29" i="6"/>
  <c r="C27" i="6"/>
  <c r="F29" i="6"/>
  <c r="B27" i="6"/>
  <c r="C28" i="6"/>
  <c r="F28" i="6"/>
  <c r="G32" i="6"/>
  <c r="C30" i="6"/>
  <c r="E28" i="6"/>
  <c r="B32" i="6"/>
  <c r="C31" i="6"/>
  <c r="F32" i="6"/>
  <c r="E31" i="6"/>
  <c r="B30" i="6"/>
  <c r="F30" i="6"/>
  <c r="C29" i="6"/>
  <c r="G28" i="6"/>
  <c r="G30" i="6"/>
  <c r="G29" i="6"/>
  <c r="G27" i="6"/>
  <c r="E29" i="6"/>
  <c r="D28" i="6"/>
  <c r="G31" i="6"/>
  <c r="E27" i="6"/>
  <c r="B28" i="6"/>
  <c r="D32" i="6"/>
  <c r="E32" i="6"/>
  <c r="E30" i="6"/>
  <c r="I20" i="6"/>
  <c r="I23" i="6"/>
  <c r="L24" i="6"/>
  <c r="J20" i="6"/>
  <c r="K20" i="6"/>
  <c r="I21" i="6"/>
  <c r="H22" i="6"/>
  <c r="K23" i="6"/>
  <c r="L20" i="6"/>
  <c r="J21" i="6"/>
  <c r="I22" i="6"/>
  <c r="L23" i="6"/>
  <c r="K21" i="6"/>
  <c r="J22" i="6"/>
  <c r="L21" i="6"/>
  <c r="K22" i="6"/>
  <c r="L22" i="6"/>
  <c r="J24" i="6"/>
  <c r="J23" i="6"/>
  <c r="H24" i="6"/>
  <c r="I24" i="6"/>
  <c r="H21" i="6"/>
  <c r="H20" i="6"/>
  <c r="H23" i="6"/>
  <c r="K24" i="6"/>
  <c r="O24" i="6"/>
  <c r="O23" i="6"/>
  <c r="O20" i="6"/>
  <c r="O21" i="6"/>
  <c r="O22" i="6"/>
  <c r="B56" i="31" l="1"/>
  <c r="N27" i="6" a="1"/>
  <c r="N31" i="6" s="1"/>
  <c r="H28" i="6" a="1"/>
  <c r="B57" i="31" l="1"/>
  <c r="N29" i="6"/>
  <c r="N30" i="6"/>
  <c r="N28" i="6"/>
  <c r="N27" i="6"/>
  <c r="N32" i="6"/>
  <c r="L30" i="6"/>
  <c r="J31" i="6"/>
  <c r="H32" i="6"/>
  <c r="L31" i="6"/>
  <c r="J32" i="6"/>
  <c r="K32" i="6"/>
  <c r="L32" i="6"/>
  <c r="H31" i="6"/>
  <c r="J30" i="6"/>
  <c r="L28" i="6"/>
  <c r="J29" i="6"/>
  <c r="K29" i="6"/>
  <c r="H28" i="6"/>
  <c r="L29" i="6"/>
  <c r="I32" i="6"/>
  <c r="I28" i="6"/>
  <c r="J28" i="6"/>
  <c r="K28" i="6"/>
  <c r="H29" i="6"/>
  <c r="I29" i="6"/>
  <c r="H30" i="6"/>
  <c r="I30" i="6"/>
  <c r="K31" i="6"/>
  <c r="K30" i="6"/>
  <c r="I31" i="6"/>
  <c r="B58" i="31" l="1"/>
  <c r="E3" i="6" a="1"/>
  <c r="E10" i="6" s="1"/>
  <c r="O28" i="6" a="1"/>
  <c r="B59" i="31" l="1"/>
  <c r="E14" i="6"/>
  <c r="E8" i="6"/>
  <c r="E6" i="6"/>
  <c r="E5" i="6"/>
  <c r="E9" i="6"/>
  <c r="E4" i="6"/>
  <c r="E7" i="6"/>
  <c r="E3" i="6"/>
  <c r="E13" i="6"/>
  <c r="E12" i="6"/>
  <c r="E11" i="6"/>
  <c r="O29" i="6"/>
  <c r="O30" i="6"/>
  <c r="O31" i="6"/>
  <c r="O32" i="6"/>
  <c r="O28" i="6"/>
  <c r="B60" i="31" l="1"/>
  <c r="E15" i="6"/>
  <c r="E16" i="6"/>
  <c r="Q20" i="6"/>
  <c r="S20" i="6" s="1"/>
  <c r="Q19" i="6"/>
  <c r="S19" i="6" s="1"/>
  <c r="R3" i="6" a="1"/>
  <c r="Q27" i="6" a="1"/>
  <c r="B61" i="31" l="1"/>
  <c r="T19" i="6"/>
  <c r="U19" i="6" s="1"/>
  <c r="Q27" i="6"/>
  <c r="Q29" i="6"/>
  <c r="Q28" i="6"/>
  <c r="Q30" i="6"/>
  <c r="Q31" i="6"/>
  <c r="R31" i="6" s="1"/>
  <c r="S31" i="6" s="1"/>
  <c r="Q32" i="6"/>
  <c r="U21" i="6"/>
  <c r="U20" i="6"/>
  <c r="R3" i="6"/>
  <c r="R4" i="6"/>
  <c r="S4" i="6" s="1"/>
  <c r="R5" i="6"/>
  <c r="S5" i="6" s="1"/>
  <c r="R11" i="6"/>
  <c r="S11" i="6" s="1"/>
  <c r="R10" i="6"/>
  <c r="S10" i="6" s="1"/>
  <c r="R6" i="6"/>
  <c r="S6" i="6" s="1"/>
  <c r="R8" i="6"/>
  <c r="S8" i="6" s="1"/>
  <c r="R7" i="6"/>
  <c r="S7" i="6" s="1"/>
  <c r="R9" i="6"/>
  <c r="S9" i="6" s="1"/>
  <c r="R14" i="6"/>
  <c r="S14" i="6" s="1"/>
  <c r="R13" i="6"/>
  <c r="S13" i="6" s="1"/>
  <c r="R12" i="6"/>
  <c r="S12" i="6" s="1"/>
  <c r="B62" i="31" l="1"/>
  <c r="R30" i="6"/>
  <c r="S30" i="6" s="1"/>
  <c r="R27" i="6"/>
  <c r="S27" i="6" s="1"/>
  <c r="R28" i="6"/>
  <c r="S28" i="6" s="1"/>
  <c r="R29" i="6"/>
  <c r="S29" i="6" s="1"/>
  <c r="R32" i="6"/>
  <c r="S32" i="6" s="1"/>
  <c r="S3" i="6"/>
  <c r="R16" i="6"/>
  <c r="B63" i="31" l="1"/>
  <c r="S15" i="6"/>
  <c r="S16" i="6"/>
  <c r="B64" i="31" l="1"/>
  <c r="I3" i="5"/>
  <c r="J3" i="5"/>
  <c r="K3" i="5"/>
  <c r="L3" i="5"/>
  <c r="M3" i="5"/>
  <c r="I4" i="5"/>
  <c r="J4" i="5"/>
  <c r="K4" i="5"/>
  <c r="L4" i="5"/>
  <c r="M4" i="5"/>
  <c r="I5" i="5"/>
  <c r="J5" i="5"/>
  <c r="K5" i="5"/>
  <c r="L5" i="5"/>
  <c r="M5" i="5"/>
  <c r="I6" i="5"/>
  <c r="J6" i="5"/>
  <c r="K6" i="5"/>
  <c r="L6" i="5"/>
  <c r="M6" i="5"/>
  <c r="I7" i="5"/>
  <c r="J7" i="5"/>
  <c r="K7" i="5"/>
  <c r="L7" i="5"/>
  <c r="M7" i="5"/>
  <c r="I8" i="5"/>
  <c r="J8" i="5"/>
  <c r="K8" i="5"/>
  <c r="L8" i="5"/>
  <c r="M8" i="5"/>
  <c r="I9" i="5"/>
  <c r="J9" i="5"/>
  <c r="K9" i="5"/>
  <c r="L9" i="5"/>
  <c r="M9" i="5"/>
  <c r="I10" i="5"/>
  <c r="J10" i="5"/>
  <c r="K10" i="5"/>
  <c r="L10" i="5"/>
  <c r="M10" i="5"/>
  <c r="P10" i="5"/>
  <c r="I11" i="5"/>
  <c r="J11" i="5"/>
  <c r="K11" i="5"/>
  <c r="L11" i="5"/>
  <c r="M11" i="5"/>
  <c r="P11" i="5"/>
  <c r="T10" i="5" s="1"/>
  <c r="I12" i="5"/>
  <c r="J12" i="5"/>
  <c r="K12" i="5"/>
  <c r="L12" i="5"/>
  <c r="M12" i="5"/>
  <c r="P12" i="5"/>
  <c r="I13" i="5"/>
  <c r="J13" i="5"/>
  <c r="K13" i="5"/>
  <c r="L13" i="5"/>
  <c r="M13" i="5"/>
  <c r="I14" i="5"/>
  <c r="J14" i="5"/>
  <c r="K14" i="5"/>
  <c r="L14" i="5"/>
  <c r="M14" i="5"/>
  <c r="I15" i="5"/>
  <c r="J15" i="5"/>
  <c r="K15" i="5"/>
  <c r="L15" i="5"/>
  <c r="M15" i="5"/>
  <c r="B65" i="31" l="1"/>
  <c r="I16" i="5"/>
  <c r="J16" i="5"/>
  <c r="K16" i="5"/>
  <c r="L16" i="5"/>
  <c r="M16" i="5"/>
  <c r="B66" i="31" l="1"/>
  <c r="I17" i="5"/>
  <c r="J17" i="5"/>
  <c r="K17" i="5"/>
  <c r="L17" i="5"/>
  <c r="M17" i="5"/>
  <c r="B67" i="31" l="1"/>
  <c r="I18" i="5"/>
  <c r="J18" i="5"/>
  <c r="K18" i="5"/>
  <c r="L18" i="5"/>
  <c r="M18" i="5"/>
  <c r="B68" i="31" l="1"/>
  <c r="I19" i="5"/>
  <c r="J19" i="5"/>
  <c r="K19" i="5"/>
  <c r="L19" i="5"/>
  <c r="M19" i="5"/>
  <c r="B69" i="31" l="1"/>
  <c r="I20" i="5"/>
  <c r="J20" i="5"/>
  <c r="K20" i="5"/>
  <c r="L20" i="5"/>
  <c r="M20" i="5"/>
  <c r="B70" i="31" l="1"/>
  <c r="I21" i="5"/>
  <c r="J21" i="5"/>
  <c r="K21" i="5"/>
  <c r="L21" i="5"/>
  <c r="M21" i="5"/>
  <c r="I22" i="5"/>
  <c r="J22" i="5"/>
  <c r="K22" i="5"/>
  <c r="L22" i="5"/>
  <c r="M22" i="5"/>
  <c r="I23" i="5"/>
  <c r="J23" i="5"/>
  <c r="K23" i="5"/>
  <c r="L23" i="5"/>
  <c r="M23" i="5"/>
  <c r="I24" i="5"/>
  <c r="J24" i="5"/>
  <c r="K24" i="5"/>
  <c r="L24" i="5"/>
  <c r="M24" i="5"/>
  <c r="I25" i="5"/>
  <c r="J25" i="5"/>
  <c r="K25" i="5"/>
  <c r="L25" i="5"/>
  <c r="M25" i="5"/>
  <c r="I26" i="5"/>
  <c r="J26" i="5"/>
  <c r="K26" i="5"/>
  <c r="L26" i="5"/>
  <c r="M26" i="5"/>
  <c r="I27" i="5"/>
  <c r="J27" i="5"/>
  <c r="K27" i="5"/>
  <c r="L27" i="5"/>
  <c r="M27" i="5"/>
  <c r="I28" i="5"/>
  <c r="J28" i="5"/>
  <c r="K28" i="5"/>
  <c r="L28" i="5"/>
  <c r="M28" i="5"/>
  <c r="I29" i="5"/>
  <c r="J29" i="5"/>
  <c r="K29" i="5"/>
  <c r="L29" i="5"/>
  <c r="M29" i="5"/>
  <c r="I30" i="5"/>
  <c r="J30" i="5"/>
  <c r="K30" i="5"/>
  <c r="L30" i="5"/>
  <c r="M30" i="5"/>
  <c r="B31" i="5"/>
  <c r="O12" i="5" s="1"/>
  <c r="D31" i="5"/>
  <c r="E31" i="5"/>
  <c r="F31" i="5"/>
  <c r="G31" i="5"/>
  <c r="H31" i="5"/>
  <c r="U31" i="5" a="1"/>
  <c r="U32" i="5" s="1"/>
  <c r="AB31" i="5" a="1"/>
  <c r="AB31" i="5" s="1"/>
  <c r="B32" i="5"/>
  <c r="D32" i="5"/>
  <c r="E32" i="5"/>
  <c r="F32" i="5"/>
  <c r="G32" i="5"/>
  <c r="H32" i="5"/>
  <c r="T20" i="5"/>
  <c r="T18" i="5"/>
  <c r="T19" i="5"/>
  <c r="T17" i="5"/>
  <c r="T16" i="5" a="1"/>
  <c r="B71" i="31" l="1"/>
  <c r="AB24" i="5" a="1"/>
  <c r="AB26" i="5" s="1"/>
  <c r="Z31" i="5" a="1"/>
  <c r="Z31" i="5" s="1"/>
  <c r="J32" i="5"/>
  <c r="I32" i="5"/>
  <c r="M31" i="5"/>
  <c r="L31" i="5"/>
  <c r="K31" i="5"/>
  <c r="J31" i="5"/>
  <c r="Z17" i="5" a="1"/>
  <c r="Z17" i="5" s="1"/>
  <c r="T16" i="5"/>
  <c r="L32" i="5"/>
  <c r="V31" i="5"/>
  <c r="K32" i="5"/>
  <c r="U31" i="5"/>
  <c r="Z24" i="5" a="1"/>
  <c r="AB32" i="5"/>
  <c r="I31" i="5"/>
  <c r="AB10" i="5" a="1"/>
  <c r="AB17" i="5" a="1"/>
  <c r="U24" i="5" a="1"/>
  <c r="Y32" i="5"/>
  <c r="Z10" i="5" a="1"/>
  <c r="AB3" i="5" a="1"/>
  <c r="Z3" i="5" a="1"/>
  <c r="U3" i="5" a="1"/>
  <c r="X32" i="5"/>
  <c r="W32" i="5"/>
  <c r="V32" i="5"/>
  <c r="Y31" i="5"/>
  <c r="N3" i="5" a="1"/>
  <c r="X31" i="5"/>
  <c r="T3" i="5" a="1"/>
  <c r="M32" i="5"/>
  <c r="W31" i="5"/>
  <c r="U10" i="5" a="1"/>
  <c r="U17" i="5" a="1"/>
  <c r="B72" i="31" l="1"/>
  <c r="AB25" i="5"/>
  <c r="AB27" i="5"/>
  <c r="AB28" i="5"/>
  <c r="AB24" i="5"/>
  <c r="Z32" i="5"/>
  <c r="Z20" i="5"/>
  <c r="Z21" i="5"/>
  <c r="Z19" i="5"/>
  <c r="Z18" i="5"/>
  <c r="U3" i="5"/>
  <c r="W4" i="5"/>
  <c r="W5" i="5"/>
  <c r="W6" i="5"/>
  <c r="W7" i="5"/>
  <c r="X4" i="5"/>
  <c r="X5" i="5"/>
  <c r="X6" i="5"/>
  <c r="X7" i="5"/>
  <c r="V3" i="5"/>
  <c r="W3" i="5"/>
  <c r="Y4" i="5"/>
  <c r="Y5" i="5"/>
  <c r="Y6" i="5"/>
  <c r="Y7" i="5"/>
  <c r="X3" i="5"/>
  <c r="Y3" i="5"/>
  <c r="U5" i="5"/>
  <c r="U7" i="5"/>
  <c r="V4" i="5"/>
  <c r="V7" i="5"/>
  <c r="U4" i="5"/>
  <c r="U6" i="5"/>
  <c r="V5" i="5"/>
  <c r="V6" i="5"/>
  <c r="Z4" i="5"/>
  <c r="Z5" i="5"/>
  <c r="Z7" i="5"/>
  <c r="Z6" i="5"/>
  <c r="Z3" i="5"/>
  <c r="Z26" i="5"/>
  <c r="Z24" i="5"/>
  <c r="Z28" i="5"/>
  <c r="Z25" i="5"/>
  <c r="Z27" i="5"/>
  <c r="Z13" i="5"/>
  <c r="Z14" i="5"/>
  <c r="Z10" i="5"/>
  <c r="Z11" i="5"/>
  <c r="Z12" i="5"/>
  <c r="AB4" i="5"/>
  <c r="AB5" i="5"/>
  <c r="AB6" i="5"/>
  <c r="AB7" i="5"/>
  <c r="AB3" i="5"/>
  <c r="Y26" i="5"/>
  <c r="W28" i="5"/>
  <c r="X28" i="5"/>
  <c r="Y28" i="5"/>
  <c r="U25" i="5"/>
  <c r="V25" i="5"/>
  <c r="V26" i="5"/>
  <c r="W25" i="5"/>
  <c r="U27" i="5"/>
  <c r="U24" i="5"/>
  <c r="X25" i="5"/>
  <c r="V27" i="5"/>
  <c r="V24" i="5"/>
  <c r="Y25" i="5"/>
  <c r="W27" i="5"/>
  <c r="W24" i="5"/>
  <c r="X27" i="5"/>
  <c r="X24" i="5"/>
  <c r="Y27" i="5"/>
  <c r="Y24" i="5"/>
  <c r="W26" i="5"/>
  <c r="U28" i="5"/>
  <c r="X26" i="5"/>
  <c r="V28" i="5"/>
  <c r="U26" i="5"/>
  <c r="U12" i="5"/>
  <c r="V12" i="5"/>
  <c r="U14" i="5"/>
  <c r="W13" i="5"/>
  <c r="W12" i="5"/>
  <c r="U10" i="5"/>
  <c r="X12" i="5"/>
  <c r="V14" i="5"/>
  <c r="Y11" i="5"/>
  <c r="U13" i="5"/>
  <c r="V10" i="5"/>
  <c r="U11" i="5"/>
  <c r="Y12" i="5"/>
  <c r="W14" i="5"/>
  <c r="Y13" i="5"/>
  <c r="W10" i="5"/>
  <c r="V11" i="5"/>
  <c r="X14" i="5"/>
  <c r="Y10" i="5"/>
  <c r="X11" i="5"/>
  <c r="X10" i="5"/>
  <c r="W11" i="5"/>
  <c r="Y14" i="5"/>
  <c r="V13" i="5"/>
  <c r="X13" i="5"/>
  <c r="AB17" i="5"/>
  <c r="AB18" i="5"/>
  <c r="AB19" i="5"/>
  <c r="AB21" i="5"/>
  <c r="AB20" i="5"/>
  <c r="R4" i="5"/>
  <c r="R6" i="5"/>
  <c r="R8" i="5"/>
  <c r="N3" i="5"/>
  <c r="N4" i="5"/>
  <c r="N5" i="5"/>
  <c r="N6" i="5"/>
  <c r="N7" i="5"/>
  <c r="N8" i="5"/>
  <c r="P4" i="5"/>
  <c r="P5" i="5"/>
  <c r="P6" i="5"/>
  <c r="P7" i="5"/>
  <c r="P8" i="5"/>
  <c r="R5" i="5"/>
  <c r="R7" i="5"/>
  <c r="O3" i="5"/>
  <c r="O4" i="5"/>
  <c r="O5" i="5"/>
  <c r="O6" i="5"/>
  <c r="O7" i="5"/>
  <c r="O8" i="5"/>
  <c r="P3" i="5"/>
  <c r="Q3" i="5"/>
  <c r="Q4" i="5"/>
  <c r="Q5" i="5"/>
  <c r="Q6" i="5"/>
  <c r="Q7" i="5"/>
  <c r="Q8" i="5"/>
  <c r="R3" i="5"/>
  <c r="S3" i="5"/>
  <c r="S4" i="5"/>
  <c r="S5" i="5"/>
  <c r="S6" i="5"/>
  <c r="S7" i="5"/>
  <c r="S8" i="5"/>
  <c r="AB13" i="5"/>
  <c r="AB10" i="5"/>
  <c r="AB11" i="5"/>
  <c r="AB12" i="5"/>
  <c r="AB14" i="5"/>
  <c r="U17" i="5"/>
  <c r="V17" i="5"/>
  <c r="W17" i="5"/>
  <c r="X17" i="5"/>
  <c r="Y17" i="5"/>
  <c r="U18" i="5"/>
  <c r="X18" i="5"/>
  <c r="V18" i="5"/>
  <c r="W18" i="5"/>
  <c r="Y18" i="5"/>
  <c r="U19" i="5"/>
  <c r="V19" i="5"/>
  <c r="W19" i="5"/>
  <c r="X19" i="5"/>
  <c r="Y19" i="5"/>
  <c r="X21" i="5"/>
  <c r="Y21" i="5"/>
  <c r="V21" i="5"/>
  <c r="U20" i="5"/>
  <c r="V20" i="5"/>
  <c r="W20" i="5"/>
  <c r="X20" i="5"/>
  <c r="Y20" i="5"/>
  <c r="U21" i="5"/>
  <c r="W21" i="5"/>
  <c r="T3" i="5"/>
  <c r="T4" i="5"/>
  <c r="T5" i="5"/>
  <c r="T6" i="5"/>
  <c r="T7" i="5"/>
  <c r="T8" i="5"/>
  <c r="B73" i="31" l="1"/>
  <c r="AC17" i="5" a="1"/>
  <c r="AA17" i="5" a="1"/>
  <c r="AC10" i="5" a="1"/>
  <c r="AA10" i="5" a="1"/>
  <c r="O15" i="5" a="1"/>
  <c r="AC24" i="5" a="1"/>
  <c r="AA24" i="5" a="1"/>
  <c r="AA3" i="5" a="1"/>
  <c r="AC3" i="5" a="1"/>
  <c r="B74" i="31" l="1"/>
  <c r="AA13" i="5"/>
  <c r="AA14" i="5"/>
  <c r="AA12" i="5"/>
  <c r="AA10" i="5"/>
  <c r="AA11" i="5"/>
  <c r="O15" i="5"/>
  <c r="O16" i="5"/>
  <c r="O17" i="5"/>
  <c r="O18" i="5"/>
  <c r="O19" i="5"/>
  <c r="O20" i="5"/>
  <c r="AC4" i="5"/>
  <c r="AC5" i="5"/>
  <c r="AC6" i="5"/>
  <c r="AC7" i="5"/>
  <c r="AC3" i="5"/>
  <c r="AA4" i="5"/>
  <c r="AA5" i="5"/>
  <c r="AA6" i="5"/>
  <c r="AA7" i="5"/>
  <c r="AA3" i="5"/>
  <c r="AA26" i="5"/>
  <c r="AA28" i="5"/>
  <c r="AA25" i="5"/>
  <c r="AA27" i="5"/>
  <c r="AA24" i="5"/>
  <c r="AH3" i="5" s="1" a="1"/>
  <c r="AC24" i="5"/>
  <c r="AC27" i="5"/>
  <c r="AC26" i="5"/>
  <c r="AC28" i="5"/>
  <c r="AC25" i="5"/>
  <c r="AC10" i="5"/>
  <c r="AC13" i="5"/>
  <c r="AC12" i="5"/>
  <c r="AC11" i="5"/>
  <c r="AC14" i="5"/>
  <c r="AA17" i="5"/>
  <c r="AA18" i="5"/>
  <c r="AA19" i="5"/>
  <c r="AA21" i="5"/>
  <c r="AA20" i="5"/>
  <c r="AC17" i="5"/>
  <c r="AC18" i="5"/>
  <c r="AC19" i="5"/>
  <c r="AC21" i="5"/>
  <c r="AC20" i="5"/>
  <c r="AJ3" i="5" l="1" a="1"/>
  <c r="AJ5" i="5" s="1"/>
  <c r="B75" i="31"/>
  <c r="AK3" i="5" a="1"/>
  <c r="AK15" i="5" s="1"/>
  <c r="AM3" i="5" a="1"/>
  <c r="AM4" i="5" s="1"/>
  <c r="AL3" i="5" a="1"/>
  <c r="AL14" i="5" s="1"/>
  <c r="AE3" i="5" a="1"/>
  <c r="AE16" i="5" s="1"/>
  <c r="AG3" i="5" a="1"/>
  <c r="AG10" i="5" s="1"/>
  <c r="AF3" i="5" a="1"/>
  <c r="AF12" i="5" s="1"/>
  <c r="AJ12" i="5"/>
  <c r="AJ14" i="5"/>
  <c r="AJ8" i="5"/>
  <c r="AJ9" i="5"/>
  <c r="AJ11" i="5"/>
  <c r="AJ10" i="5"/>
  <c r="AJ13" i="5"/>
  <c r="AJ3" i="5"/>
  <c r="AJ4" i="5"/>
  <c r="AJ16" i="5"/>
  <c r="AJ17" i="5"/>
  <c r="AJ18" i="5"/>
  <c r="AJ19" i="5"/>
  <c r="AJ28" i="5"/>
  <c r="AJ20" i="5"/>
  <c r="AJ25" i="5"/>
  <c r="AJ29" i="5"/>
  <c r="AJ27" i="5"/>
  <c r="AJ24" i="5"/>
  <c r="AJ30" i="5"/>
  <c r="AJ21" i="5"/>
  <c r="AH14" i="5"/>
  <c r="AH8" i="5"/>
  <c r="AH9" i="5"/>
  <c r="AH11" i="5"/>
  <c r="AH3" i="5"/>
  <c r="AH10" i="5"/>
  <c r="AH13" i="5"/>
  <c r="AH12" i="5"/>
  <c r="AH4" i="5"/>
  <c r="AH5" i="5"/>
  <c r="AH6" i="5"/>
  <c r="AH7" i="5"/>
  <c r="AH15" i="5"/>
  <c r="AH16" i="5"/>
  <c r="AH17" i="5"/>
  <c r="AH18" i="5"/>
  <c r="AH19" i="5"/>
  <c r="AH20" i="5"/>
  <c r="AH27" i="5"/>
  <c r="AH24" i="5"/>
  <c r="AH21" i="5"/>
  <c r="AH22" i="5"/>
  <c r="AH23" i="5"/>
  <c r="AH26" i="5"/>
  <c r="AH28" i="5"/>
  <c r="AH29" i="5"/>
  <c r="AH30" i="5"/>
  <c r="AH25" i="5"/>
  <c r="C3" i="5" a="1"/>
  <c r="U33" i="5"/>
  <c r="V33" i="5"/>
  <c r="W33" i="5"/>
  <c r="X33" i="5"/>
  <c r="Y33" i="5"/>
  <c r="Z33" i="5"/>
  <c r="AB33" i="5"/>
  <c r="U34" i="5"/>
  <c r="V34" i="5"/>
  <c r="W34" i="5"/>
  <c r="X34" i="5"/>
  <c r="Y34" i="5"/>
  <c r="Z34" i="5"/>
  <c r="AB34" i="5"/>
  <c r="U35" i="5"/>
  <c r="V35" i="5"/>
  <c r="W35" i="5"/>
  <c r="X35" i="5"/>
  <c r="Y35" i="5"/>
  <c r="Z35" i="5"/>
  <c r="AB35" i="5"/>
  <c r="AE35" i="5"/>
  <c r="AF35" i="5"/>
  <c r="AG35" i="5"/>
  <c r="AH35" i="5"/>
  <c r="AI35" i="5"/>
  <c r="AJ15" i="5" l="1"/>
  <c r="AJ26" i="5"/>
  <c r="AJ7" i="5"/>
  <c r="AJ23" i="5"/>
  <c r="AJ6" i="5"/>
  <c r="AJ22" i="5"/>
  <c r="B76" i="31"/>
  <c r="AK29" i="5"/>
  <c r="AK27" i="5"/>
  <c r="AL12" i="5"/>
  <c r="AK18" i="5"/>
  <c r="AK25" i="5"/>
  <c r="AK17" i="5"/>
  <c r="AK7" i="5"/>
  <c r="AK30" i="5"/>
  <c r="AK3" i="5"/>
  <c r="AK11" i="5"/>
  <c r="AK16" i="5"/>
  <c r="AK6" i="5"/>
  <c r="AK5" i="5"/>
  <c r="AK4" i="5"/>
  <c r="AK28" i="5"/>
  <c r="AK21" i="5"/>
  <c r="AK10" i="5"/>
  <c r="AK23" i="5"/>
  <c r="AL19" i="5"/>
  <c r="AK24" i="5"/>
  <c r="AL18" i="5"/>
  <c r="AK26" i="5"/>
  <c r="AK9" i="5"/>
  <c r="AK13" i="5"/>
  <c r="AL17" i="5"/>
  <c r="AK22" i="5"/>
  <c r="AK8" i="5"/>
  <c r="AM9" i="5"/>
  <c r="AK20" i="5"/>
  <c r="AK14" i="5"/>
  <c r="AK19" i="5"/>
  <c r="AK12" i="5"/>
  <c r="AM24" i="5"/>
  <c r="AM10" i="5"/>
  <c r="AM28" i="5"/>
  <c r="AM27" i="5"/>
  <c r="AM23" i="5"/>
  <c r="AM11" i="5"/>
  <c r="AM6" i="5"/>
  <c r="AM25" i="5"/>
  <c r="AM14" i="5"/>
  <c r="AL5" i="5"/>
  <c r="AM21" i="5"/>
  <c r="AM3" i="5"/>
  <c r="AM8" i="5"/>
  <c r="AL6" i="5"/>
  <c r="AM20" i="5"/>
  <c r="AL29" i="5"/>
  <c r="AL28" i="5"/>
  <c r="AL3" i="5"/>
  <c r="AM26" i="5"/>
  <c r="AM5" i="5"/>
  <c r="AL16" i="5"/>
  <c r="AL15" i="5"/>
  <c r="AF7" i="5"/>
  <c r="AL24" i="5"/>
  <c r="AL7" i="5"/>
  <c r="AM19" i="5"/>
  <c r="AM12" i="5"/>
  <c r="AE27" i="5"/>
  <c r="AL4" i="5"/>
  <c r="AM18" i="5"/>
  <c r="AL22" i="5"/>
  <c r="AL10" i="5"/>
  <c r="AM17" i="5"/>
  <c r="AL30" i="5"/>
  <c r="AE17" i="5"/>
  <c r="AL26" i="5"/>
  <c r="AL13" i="5"/>
  <c r="AM16" i="5"/>
  <c r="AL11" i="5"/>
  <c r="AM15" i="5"/>
  <c r="AL23" i="5"/>
  <c r="AE30" i="5"/>
  <c r="AE15" i="5"/>
  <c r="AL27" i="5"/>
  <c r="AE11" i="5"/>
  <c r="AL21" i="5"/>
  <c r="AL9" i="5"/>
  <c r="AM22" i="5"/>
  <c r="AM13" i="5"/>
  <c r="AE14" i="5"/>
  <c r="AL25" i="5"/>
  <c r="AL8" i="5"/>
  <c r="AM30" i="5"/>
  <c r="AM7" i="5"/>
  <c r="AG8" i="5"/>
  <c r="AE12" i="5"/>
  <c r="AL20" i="5"/>
  <c r="AM29" i="5"/>
  <c r="AG20" i="5"/>
  <c r="AG30" i="5"/>
  <c r="AG9" i="5"/>
  <c r="AJ34" i="5"/>
  <c r="AE29" i="5"/>
  <c r="AE7" i="5"/>
  <c r="AE25" i="5"/>
  <c r="AE6" i="5"/>
  <c r="AE4" i="5"/>
  <c r="AE23" i="5"/>
  <c r="AE8" i="5"/>
  <c r="AE5" i="5"/>
  <c r="AE26" i="5"/>
  <c r="AF25" i="5"/>
  <c r="AE22" i="5"/>
  <c r="AE13" i="5"/>
  <c r="AE20" i="5"/>
  <c r="AF30" i="5"/>
  <c r="AE21" i="5"/>
  <c r="AE10" i="5"/>
  <c r="AF29" i="5"/>
  <c r="AE24" i="5"/>
  <c r="AE9" i="5"/>
  <c r="AE28" i="5"/>
  <c r="AF28" i="5"/>
  <c r="AE19" i="5"/>
  <c r="AE3" i="5"/>
  <c r="AF8" i="5"/>
  <c r="AE18" i="5"/>
  <c r="AF6" i="5"/>
  <c r="AF5" i="5"/>
  <c r="AG24" i="5"/>
  <c r="AG18" i="5"/>
  <c r="AG17" i="5"/>
  <c r="AG23" i="5"/>
  <c r="AG16" i="5"/>
  <c r="AG15" i="5"/>
  <c r="AG27" i="5"/>
  <c r="AG19" i="5"/>
  <c r="AG14" i="5"/>
  <c r="AG7" i="5"/>
  <c r="AG13" i="5"/>
  <c r="AG3" i="5"/>
  <c r="AG22" i="5"/>
  <c r="AG25" i="5"/>
  <c r="AG11" i="5"/>
  <c r="AG6" i="5"/>
  <c r="AG29" i="5"/>
  <c r="AG5" i="5"/>
  <c r="AG28" i="5"/>
  <c r="AG4" i="5"/>
  <c r="AG26" i="5"/>
  <c r="AG12" i="5"/>
  <c r="AG21" i="5"/>
  <c r="AF26" i="5"/>
  <c r="AF23" i="5"/>
  <c r="AF14" i="5"/>
  <c r="AF13" i="5"/>
  <c r="AF24" i="5"/>
  <c r="AF9" i="5"/>
  <c r="AF20" i="5"/>
  <c r="AF11" i="5"/>
  <c r="AF22" i="5"/>
  <c r="AF19" i="5"/>
  <c r="AF3" i="5"/>
  <c r="AF21" i="5"/>
  <c r="AF10" i="5"/>
  <c r="AF18" i="5"/>
  <c r="AF17" i="5"/>
  <c r="AF4" i="5"/>
  <c r="AF16" i="5"/>
  <c r="AF15" i="5"/>
  <c r="AF27" i="5"/>
  <c r="AH33" i="5"/>
  <c r="E37" i="5" s="1"/>
  <c r="E40" i="5" s="1"/>
  <c r="AJ33" i="5"/>
  <c r="AH34" i="5"/>
  <c r="E38" i="5" s="1"/>
  <c r="AH32" i="5"/>
  <c r="AH31" i="5"/>
  <c r="AA31" i="5" a="1"/>
  <c r="AC31" i="5" a="1"/>
  <c r="AH36" i="5" a="1"/>
  <c r="AH36" i="5" s="1"/>
  <c r="AJ32" i="5"/>
  <c r="AJ31" i="5"/>
  <c r="C3" i="5"/>
  <c r="C4" i="5"/>
  <c r="C5" i="5"/>
  <c r="C6" i="5"/>
  <c r="C7" i="5"/>
  <c r="C8" i="5"/>
  <c r="C14" i="5"/>
  <c r="C13" i="5"/>
  <c r="C12" i="5"/>
  <c r="C15" i="5"/>
  <c r="C9" i="5"/>
  <c r="C10" i="5"/>
  <c r="C11" i="5"/>
  <c r="C16" i="5"/>
  <c r="C17" i="5"/>
  <c r="C18" i="5"/>
  <c r="C19" i="5"/>
  <c r="C20" i="5"/>
  <c r="C22" i="5"/>
  <c r="C23" i="5"/>
  <c r="C24" i="5"/>
  <c r="C29" i="5"/>
  <c r="C30" i="5"/>
  <c r="C21" i="5"/>
  <c r="C26" i="5"/>
  <c r="C28" i="5"/>
  <c r="C25" i="5"/>
  <c r="C27" i="5"/>
  <c r="M55" i="4"/>
  <c r="L3" i="4"/>
  <c r="L4" i="4"/>
  <c r="L5" i="4"/>
  <c r="L6" i="4"/>
  <c r="L7" i="4"/>
  <c r="L8" i="4"/>
  <c r="L9" i="4"/>
  <c r="L10" i="4"/>
  <c r="O10" i="4"/>
  <c r="L11" i="4"/>
  <c r="O11" i="4"/>
  <c r="T12" i="4" s="1"/>
  <c r="L12" i="4"/>
  <c r="O12" i="4"/>
  <c r="L13" i="4"/>
  <c r="L14" i="4"/>
  <c r="L15" i="4"/>
  <c r="L16" i="4"/>
  <c r="N16" i="4"/>
  <c r="L17" i="4"/>
  <c r="N17" i="4"/>
  <c r="L18" i="4"/>
  <c r="N18" i="4"/>
  <c r="L19" i="4"/>
  <c r="N19" i="4"/>
  <c r="L20" i="4"/>
  <c r="N20" i="4"/>
  <c r="L21" i="4"/>
  <c r="L22" i="4"/>
  <c r="L23" i="4"/>
  <c r="L24" i="4"/>
  <c r="L25" i="4"/>
  <c r="L26" i="4"/>
  <c r="L27" i="4"/>
  <c r="L28" i="4"/>
  <c r="L29" i="4"/>
  <c r="L30" i="4"/>
  <c r="B31" i="4"/>
  <c r="N12" i="4" s="1"/>
  <c r="D31" i="4"/>
  <c r="G31" i="4"/>
  <c r="H31" i="4"/>
  <c r="I31" i="4"/>
  <c r="J31" i="4"/>
  <c r="K31" i="4"/>
  <c r="B32" i="4"/>
  <c r="D32" i="4"/>
  <c r="G32" i="4"/>
  <c r="H32" i="4"/>
  <c r="I32" i="4"/>
  <c r="J32" i="4"/>
  <c r="K32" i="4"/>
  <c r="B33" i="5" a="1"/>
  <c r="D33" i="5" a="1"/>
  <c r="C33" i="5" a="1"/>
  <c r="E33" i="5" a="1"/>
  <c r="B77" i="31" l="1"/>
  <c r="AK33" i="5"/>
  <c r="AK34" i="5"/>
  <c r="AK31" i="5"/>
  <c r="AK32" i="5"/>
  <c r="AL34" i="5"/>
  <c r="AE36" i="5" a="1"/>
  <c r="AE36" i="5" s="1"/>
  <c r="AE34" i="5"/>
  <c r="B38" i="5" s="1"/>
  <c r="AL32" i="5"/>
  <c r="AM32" i="5"/>
  <c r="E34" i="5"/>
  <c r="E33" i="5"/>
  <c r="AM34" i="5"/>
  <c r="AE31" i="5"/>
  <c r="AL33" i="5"/>
  <c r="AE32" i="5"/>
  <c r="AM31" i="5"/>
  <c r="AL31" i="5"/>
  <c r="AM33" i="5"/>
  <c r="B33" i="5"/>
  <c r="B34" i="5"/>
  <c r="AG31" i="5"/>
  <c r="AG32" i="5"/>
  <c r="AE33" i="5"/>
  <c r="B37" i="5" s="1"/>
  <c r="B40" i="5" s="1"/>
  <c r="AG34" i="5"/>
  <c r="D38" i="5" s="1"/>
  <c r="AG33" i="5"/>
  <c r="D37" i="5" s="1"/>
  <c r="D40" i="5" s="1"/>
  <c r="AG36" i="5" a="1"/>
  <c r="AG36" i="5" s="1"/>
  <c r="D33" i="5"/>
  <c r="D34" i="5"/>
  <c r="AF31" i="5"/>
  <c r="AF33" i="5"/>
  <c r="C37" i="5" s="1"/>
  <c r="C40" i="5" s="1"/>
  <c r="AF34" i="5"/>
  <c r="C38" i="5" s="1"/>
  <c r="C33" i="5"/>
  <c r="C34" i="5"/>
  <c r="AF32" i="5"/>
  <c r="AF36" i="5" a="1"/>
  <c r="AF36" i="5" s="1"/>
  <c r="E39" i="5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AC32" i="5"/>
  <c r="AC31" i="5"/>
  <c r="AC33" i="5"/>
  <c r="AC34" i="5"/>
  <c r="AC35" i="5"/>
  <c r="AA31" i="5"/>
  <c r="AA32" i="5"/>
  <c r="AA34" i="5"/>
  <c r="AA35" i="5"/>
  <c r="AA33" i="5"/>
  <c r="O11" i="5"/>
  <c r="Q11" i="5" s="1"/>
  <c r="S11" i="5" s="1"/>
  <c r="O10" i="5"/>
  <c r="C31" i="5"/>
  <c r="C32" i="5"/>
  <c r="S3" i="4" a="1"/>
  <c r="S4" i="4" s="1"/>
  <c r="M3" i="4" a="1"/>
  <c r="O8" i="4" s="1"/>
  <c r="L31" i="4"/>
  <c r="L32" i="4"/>
  <c r="P15" i="5" a="1"/>
  <c r="B78" i="31" l="1"/>
  <c r="J40" i="5"/>
  <c r="C39" i="5"/>
  <c r="C41" i="5" s="1"/>
  <c r="C42" i="5" s="1"/>
  <c r="C43" i="5" s="1"/>
  <c r="C44" i="5" s="1"/>
  <c r="R44" i="5" s="1"/>
  <c r="I40" i="5"/>
  <c r="D39" i="5"/>
  <c r="D41" i="5" s="1"/>
  <c r="G40" i="5"/>
  <c r="B39" i="5"/>
  <c r="B41" i="5" s="1"/>
  <c r="L41" i="5" s="1"/>
  <c r="J38" i="5"/>
  <c r="J60" i="5"/>
  <c r="J37" i="5"/>
  <c r="I37" i="5"/>
  <c r="G38" i="5"/>
  <c r="H38" i="5"/>
  <c r="G37" i="5"/>
  <c r="I38" i="5"/>
  <c r="H40" i="5"/>
  <c r="H37" i="5"/>
  <c r="J48" i="5"/>
  <c r="J44" i="5"/>
  <c r="J56" i="5"/>
  <c r="J47" i="5"/>
  <c r="J45" i="5"/>
  <c r="J53" i="5"/>
  <c r="J43" i="5"/>
  <c r="J49" i="5"/>
  <c r="J52" i="5"/>
  <c r="J54" i="5"/>
  <c r="J58" i="5"/>
  <c r="J50" i="5"/>
  <c r="J42" i="5"/>
  <c r="J46" i="5"/>
  <c r="J57" i="5"/>
  <c r="J59" i="5"/>
  <c r="J55" i="5"/>
  <c r="J41" i="5"/>
  <c r="J51" i="5"/>
  <c r="AN3" i="5" a="1"/>
  <c r="AN14" i="5" s="1"/>
  <c r="P15" i="5"/>
  <c r="Q15" i="5" s="1"/>
  <c r="P16" i="5"/>
  <c r="Q16" i="5" s="1"/>
  <c r="P17" i="5"/>
  <c r="Q17" i="5" s="1"/>
  <c r="P18" i="5"/>
  <c r="Q18" i="5" s="1"/>
  <c r="P19" i="5"/>
  <c r="Q19" i="5" s="1"/>
  <c r="P20" i="5"/>
  <c r="Q20" i="5" s="1"/>
  <c r="N40" i="5"/>
  <c r="T42" i="5"/>
  <c r="O40" i="5"/>
  <c r="O44" i="5"/>
  <c r="O48" i="5"/>
  <c r="O52" i="5"/>
  <c r="O56" i="5"/>
  <c r="O60" i="5"/>
  <c r="L40" i="5"/>
  <c r="T54" i="5"/>
  <c r="T43" i="5"/>
  <c r="T47" i="5"/>
  <c r="T51" i="5"/>
  <c r="T55" i="5"/>
  <c r="T59" i="5"/>
  <c r="Q40" i="5"/>
  <c r="R40" i="5"/>
  <c r="S40" i="5"/>
  <c r="O41" i="5"/>
  <c r="O45" i="5"/>
  <c r="O49" i="5"/>
  <c r="O53" i="5"/>
  <c r="O57" i="5"/>
  <c r="T40" i="5"/>
  <c r="T44" i="5"/>
  <c r="T48" i="5"/>
  <c r="T52" i="5"/>
  <c r="T56" i="5"/>
  <c r="T60" i="5"/>
  <c r="O42" i="5"/>
  <c r="O46" i="5"/>
  <c r="O50" i="5"/>
  <c r="O54" i="5"/>
  <c r="O58" i="5"/>
  <c r="T46" i="5"/>
  <c r="T58" i="5"/>
  <c r="T41" i="5"/>
  <c r="T45" i="5"/>
  <c r="T49" i="5"/>
  <c r="T53" i="5"/>
  <c r="T57" i="5"/>
  <c r="T50" i="5"/>
  <c r="O43" i="5"/>
  <c r="O47" i="5"/>
  <c r="O51" i="5"/>
  <c r="O55" i="5"/>
  <c r="O59" i="5"/>
  <c r="M40" i="5"/>
  <c r="Q10" i="5"/>
  <c r="R10" i="5" s="1"/>
  <c r="S10" i="5" s="1"/>
  <c r="S12" i="5"/>
  <c r="AI3" i="5" a="1"/>
  <c r="S7" i="4"/>
  <c r="S8" i="4"/>
  <c r="S3" i="4"/>
  <c r="S5" i="4"/>
  <c r="S6" i="4"/>
  <c r="O3" i="4"/>
  <c r="N8" i="4"/>
  <c r="R4" i="4"/>
  <c r="R5" i="4"/>
  <c r="N3" i="4"/>
  <c r="M4" i="4"/>
  <c r="N4" i="4"/>
  <c r="O7" i="4"/>
  <c r="M5" i="4"/>
  <c r="M8" i="4"/>
  <c r="R8" i="4"/>
  <c r="Q5" i="4"/>
  <c r="P6" i="4"/>
  <c r="N7" i="4"/>
  <c r="P5" i="4"/>
  <c r="O6" i="4"/>
  <c r="Q4" i="4"/>
  <c r="O5" i="4"/>
  <c r="R3" i="4"/>
  <c r="M3" i="4"/>
  <c r="R6" i="4"/>
  <c r="R7" i="4"/>
  <c r="Q8" i="4"/>
  <c r="N5" i="4"/>
  <c r="N6" i="4"/>
  <c r="M7" i="4"/>
  <c r="Q3" i="4"/>
  <c r="P4" i="4"/>
  <c r="Q7" i="4"/>
  <c r="Q6" i="4"/>
  <c r="M6" i="4"/>
  <c r="P8" i="4"/>
  <c r="P3" i="4"/>
  <c r="O4" i="4"/>
  <c r="P7" i="4"/>
  <c r="B79" i="31" l="1"/>
  <c r="H41" i="5"/>
  <c r="M41" i="5"/>
  <c r="R42" i="5"/>
  <c r="M42" i="5"/>
  <c r="R41" i="5"/>
  <c r="N63" i="5"/>
  <c r="L63" i="5"/>
  <c r="J63" i="5"/>
  <c r="O63" i="5"/>
  <c r="O79" i="5"/>
  <c r="Q41" i="5"/>
  <c r="B63" i="5"/>
  <c r="T81" i="5"/>
  <c r="E79" i="5"/>
  <c r="B42" i="5"/>
  <c r="Q42" i="5" s="1"/>
  <c r="T80" i="5"/>
  <c r="H42" i="5"/>
  <c r="J68" i="5"/>
  <c r="D63" i="5"/>
  <c r="J83" i="5"/>
  <c r="D42" i="5"/>
  <c r="N42" i="5" s="1"/>
  <c r="N41" i="5"/>
  <c r="S41" i="5"/>
  <c r="O83" i="5"/>
  <c r="G41" i="5"/>
  <c r="C63" i="5"/>
  <c r="E77" i="5"/>
  <c r="M43" i="5"/>
  <c r="I41" i="5"/>
  <c r="T67" i="5"/>
  <c r="G63" i="5"/>
  <c r="J79" i="5"/>
  <c r="O70" i="5"/>
  <c r="T63" i="5"/>
  <c r="E66" i="5"/>
  <c r="S63" i="5"/>
  <c r="O67" i="5"/>
  <c r="O73" i="5"/>
  <c r="T77" i="5"/>
  <c r="T79" i="5"/>
  <c r="M44" i="5"/>
  <c r="R43" i="5"/>
  <c r="T68" i="5"/>
  <c r="T64" i="5"/>
  <c r="E70" i="5"/>
  <c r="E64" i="5"/>
  <c r="H43" i="5"/>
  <c r="O82" i="5"/>
  <c r="T69" i="5"/>
  <c r="T73" i="5"/>
  <c r="J76" i="5"/>
  <c r="E73" i="5"/>
  <c r="J64" i="5"/>
  <c r="I63" i="5"/>
  <c r="E69" i="5"/>
  <c r="J78" i="5"/>
  <c r="J80" i="5"/>
  <c r="M63" i="5"/>
  <c r="O77" i="5"/>
  <c r="J81" i="5"/>
  <c r="M64" i="5"/>
  <c r="O78" i="5"/>
  <c r="T65" i="5"/>
  <c r="J82" i="5"/>
  <c r="J73" i="5"/>
  <c r="E80" i="5"/>
  <c r="J67" i="5"/>
  <c r="J69" i="5"/>
  <c r="J72" i="5"/>
  <c r="T82" i="5"/>
  <c r="O69" i="5"/>
  <c r="T76" i="5"/>
  <c r="J74" i="5"/>
  <c r="Q63" i="5"/>
  <c r="E76" i="5"/>
  <c r="E63" i="5"/>
  <c r="O65" i="5"/>
  <c r="T75" i="5"/>
  <c r="T71" i="5"/>
  <c r="E65" i="5"/>
  <c r="T72" i="5"/>
  <c r="O76" i="5"/>
  <c r="J75" i="5"/>
  <c r="E72" i="5"/>
  <c r="O72" i="5"/>
  <c r="O81" i="5"/>
  <c r="E71" i="5"/>
  <c r="O74" i="5"/>
  <c r="O80" i="5"/>
  <c r="O66" i="5"/>
  <c r="H63" i="5"/>
  <c r="R63" i="5"/>
  <c r="E83" i="5"/>
  <c r="E74" i="5"/>
  <c r="C45" i="5"/>
  <c r="H44" i="5"/>
  <c r="AN27" i="5"/>
  <c r="AN13" i="5"/>
  <c r="J70" i="5"/>
  <c r="AN20" i="5"/>
  <c r="AN30" i="5"/>
  <c r="AN6" i="5"/>
  <c r="AN4" i="5"/>
  <c r="AN19" i="5"/>
  <c r="AN3" i="5"/>
  <c r="E75" i="5"/>
  <c r="AN28" i="5"/>
  <c r="AN18" i="5"/>
  <c r="AN12" i="5"/>
  <c r="O64" i="5"/>
  <c r="AN17" i="5"/>
  <c r="AN7" i="5"/>
  <c r="AN5" i="5"/>
  <c r="AN16" i="5"/>
  <c r="AN15" i="5"/>
  <c r="AN25" i="5"/>
  <c r="AN26" i="5"/>
  <c r="AN11" i="5"/>
  <c r="AN23" i="5"/>
  <c r="AN10" i="5"/>
  <c r="AN22" i="5"/>
  <c r="AN9" i="5"/>
  <c r="AN29" i="5"/>
  <c r="AN21" i="5"/>
  <c r="AN8" i="5"/>
  <c r="AN24" i="5"/>
  <c r="O75" i="5"/>
  <c r="O71" i="5"/>
  <c r="E81" i="5"/>
  <c r="T74" i="5"/>
  <c r="E67" i="5"/>
  <c r="J77" i="5"/>
  <c r="E78" i="5"/>
  <c r="T78" i="5"/>
  <c r="E68" i="5"/>
  <c r="J71" i="5"/>
  <c r="J65" i="5"/>
  <c r="T83" i="5"/>
  <c r="AI14" i="5"/>
  <c r="AI12" i="5"/>
  <c r="AI8" i="5"/>
  <c r="AI9" i="5"/>
  <c r="AI11" i="5"/>
  <c r="AI5" i="5"/>
  <c r="AI6" i="5"/>
  <c r="AI3" i="5"/>
  <c r="AI10" i="5"/>
  <c r="AI4" i="5"/>
  <c r="AI7" i="5"/>
  <c r="AI13" i="5"/>
  <c r="AI15" i="5"/>
  <c r="AI16" i="5"/>
  <c r="AI17" i="5"/>
  <c r="AI18" i="5"/>
  <c r="AI19" i="5"/>
  <c r="AI20" i="5"/>
  <c r="AI25" i="5"/>
  <c r="AI27" i="5"/>
  <c r="AI24" i="5"/>
  <c r="AI29" i="5"/>
  <c r="AI21" i="5"/>
  <c r="AI22" i="5"/>
  <c r="AI23" i="5"/>
  <c r="AI26" i="5"/>
  <c r="AI28" i="5"/>
  <c r="AI30" i="5"/>
  <c r="T70" i="5"/>
  <c r="R20" i="5"/>
  <c r="S20" i="5"/>
  <c r="S19" i="5"/>
  <c r="R19" i="5"/>
  <c r="O68" i="5"/>
  <c r="E82" i="5"/>
  <c r="J66" i="5"/>
  <c r="R18" i="5"/>
  <c r="S18" i="5"/>
  <c r="R17" i="5"/>
  <c r="S17" i="5"/>
  <c r="T66" i="5"/>
  <c r="S16" i="5"/>
  <c r="R16" i="5"/>
  <c r="R15" i="5"/>
  <c r="S15" i="5"/>
  <c r="Q15" i="4" a="1"/>
  <c r="Q15" i="4" s="1"/>
  <c r="O15" i="4" a="1"/>
  <c r="O20" i="4" s="1"/>
  <c r="F33" i="5" a="1"/>
  <c r="B80" i="31" l="1"/>
  <c r="R64" i="5"/>
  <c r="H64" i="5"/>
  <c r="C64" i="5"/>
  <c r="R65" i="5"/>
  <c r="C65" i="5"/>
  <c r="H65" i="5"/>
  <c r="M65" i="5"/>
  <c r="L64" i="5"/>
  <c r="G42" i="5"/>
  <c r="B43" i="5"/>
  <c r="G43" i="5" s="1"/>
  <c r="L42" i="5"/>
  <c r="B65" i="5" s="1"/>
  <c r="Q64" i="5"/>
  <c r="B64" i="5"/>
  <c r="G64" i="5"/>
  <c r="D64" i="5"/>
  <c r="S64" i="5"/>
  <c r="I64" i="5"/>
  <c r="N64" i="5"/>
  <c r="D43" i="5"/>
  <c r="I42" i="5"/>
  <c r="D65" i="5" s="1"/>
  <c r="S42" i="5"/>
  <c r="C67" i="5"/>
  <c r="R66" i="5"/>
  <c r="C66" i="5"/>
  <c r="M66" i="5"/>
  <c r="H66" i="5"/>
  <c r="M67" i="5"/>
  <c r="R67" i="5"/>
  <c r="C46" i="5"/>
  <c r="H45" i="5"/>
  <c r="R45" i="5"/>
  <c r="M45" i="5"/>
  <c r="AN32" i="5"/>
  <c r="H67" i="5"/>
  <c r="AN31" i="5"/>
  <c r="AN33" i="5"/>
  <c r="AN34" i="5"/>
  <c r="F33" i="5"/>
  <c r="F34" i="5"/>
  <c r="AI31" i="5"/>
  <c r="AI32" i="5"/>
  <c r="AI33" i="5"/>
  <c r="F37" i="5" s="1"/>
  <c r="F40" i="5" s="1"/>
  <c r="AI36" i="5" a="1"/>
  <c r="AI36" i="5" s="1"/>
  <c r="AI34" i="5"/>
  <c r="F38" i="5" s="1"/>
  <c r="L65" i="5"/>
  <c r="Q65" i="5"/>
  <c r="Q16" i="4"/>
  <c r="Q17" i="4"/>
  <c r="Q18" i="4"/>
  <c r="Q19" i="4"/>
  <c r="Q20" i="4"/>
  <c r="O15" i="4"/>
  <c r="O16" i="4"/>
  <c r="O17" i="4"/>
  <c r="O18" i="4"/>
  <c r="O19" i="4"/>
  <c r="B81" i="31" l="1"/>
  <c r="S65" i="5"/>
  <c r="G65" i="5"/>
  <c r="B44" i="5"/>
  <c r="C3" i="4" a="1"/>
  <c r="C4" i="4" s="1"/>
  <c r="L43" i="5"/>
  <c r="B66" i="5" s="1"/>
  <c r="Q43" i="5"/>
  <c r="L66" i="5" s="1"/>
  <c r="R68" i="5"/>
  <c r="T13" i="4" a="1"/>
  <c r="T13" i="4" s="1"/>
  <c r="P15" i="4" s="1" a="1"/>
  <c r="P17" i="4" s="1"/>
  <c r="F39" i="5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U60" i="5" s="1"/>
  <c r="N65" i="5"/>
  <c r="D44" i="5"/>
  <c r="N43" i="5"/>
  <c r="I43" i="5"/>
  <c r="S43" i="5"/>
  <c r="I65" i="5"/>
  <c r="H68" i="5"/>
  <c r="M68" i="5"/>
  <c r="C68" i="5"/>
  <c r="C47" i="5"/>
  <c r="H46" i="5"/>
  <c r="R46" i="5"/>
  <c r="M46" i="5"/>
  <c r="U40" i="5"/>
  <c r="P40" i="5"/>
  <c r="B45" i="5"/>
  <c r="G44" i="5"/>
  <c r="L44" i="5"/>
  <c r="Q44" i="5"/>
  <c r="K37" i="5"/>
  <c r="K38" i="5"/>
  <c r="K40" i="5"/>
  <c r="E3" i="4" a="1"/>
  <c r="B82" i="31" l="1"/>
  <c r="Q66" i="5"/>
  <c r="G66" i="5"/>
  <c r="C20" i="4"/>
  <c r="C17" i="4"/>
  <c r="C14" i="4"/>
  <c r="C12" i="4"/>
  <c r="C8" i="4"/>
  <c r="C27" i="4"/>
  <c r="C23" i="4"/>
  <c r="C7" i="4"/>
  <c r="C11" i="4"/>
  <c r="C28" i="4"/>
  <c r="C16" i="4"/>
  <c r="C18" i="4"/>
  <c r="C25" i="4"/>
  <c r="C21" i="4"/>
  <c r="C13" i="4"/>
  <c r="C26" i="4"/>
  <c r="C29" i="4"/>
  <c r="C9" i="4"/>
  <c r="C22" i="4"/>
  <c r="C3" i="4"/>
  <c r="C30" i="4"/>
  <c r="C5" i="4"/>
  <c r="C19" i="4"/>
  <c r="C24" i="4"/>
  <c r="C15" i="4"/>
  <c r="C10" i="4"/>
  <c r="C6" i="4"/>
  <c r="M69" i="5"/>
  <c r="P19" i="4"/>
  <c r="P20" i="4"/>
  <c r="P18" i="4"/>
  <c r="P15" i="4"/>
  <c r="P16" i="4"/>
  <c r="I66" i="5"/>
  <c r="N66" i="5"/>
  <c r="D66" i="5"/>
  <c r="S66" i="5"/>
  <c r="D45" i="5"/>
  <c r="N44" i="5"/>
  <c r="S44" i="5"/>
  <c r="I44" i="5"/>
  <c r="C48" i="5"/>
  <c r="H47" i="5"/>
  <c r="M47" i="5"/>
  <c r="R47" i="5"/>
  <c r="C69" i="5"/>
  <c r="H69" i="5"/>
  <c r="R69" i="5"/>
  <c r="K47" i="5"/>
  <c r="B46" i="5"/>
  <c r="G45" i="5"/>
  <c r="L45" i="5"/>
  <c r="Q45" i="5"/>
  <c r="U56" i="5"/>
  <c r="P56" i="5"/>
  <c r="K54" i="5"/>
  <c r="P55" i="5"/>
  <c r="U58" i="5"/>
  <c r="P58" i="5"/>
  <c r="K46" i="5"/>
  <c r="P53" i="5"/>
  <c r="P50" i="5"/>
  <c r="K50" i="5"/>
  <c r="K60" i="5"/>
  <c r="K42" i="5"/>
  <c r="P42" i="5"/>
  <c r="P60" i="5"/>
  <c r="P45" i="5"/>
  <c r="K56" i="5"/>
  <c r="P43" i="5"/>
  <c r="U41" i="5"/>
  <c r="U43" i="5"/>
  <c r="U48" i="5"/>
  <c r="K52" i="5"/>
  <c r="K57" i="5"/>
  <c r="P51" i="5"/>
  <c r="U46" i="5"/>
  <c r="P52" i="5"/>
  <c r="U59" i="5"/>
  <c r="K48" i="5"/>
  <c r="K53" i="5"/>
  <c r="U55" i="5"/>
  <c r="U53" i="5"/>
  <c r="U45" i="5"/>
  <c r="K44" i="5"/>
  <c r="K49" i="5"/>
  <c r="P44" i="5"/>
  <c r="U52" i="5"/>
  <c r="U44" i="5"/>
  <c r="U49" i="5"/>
  <c r="K63" i="5"/>
  <c r="P63" i="5"/>
  <c r="F63" i="5"/>
  <c r="U63" i="5"/>
  <c r="K45" i="5"/>
  <c r="P47" i="5"/>
  <c r="U42" i="5"/>
  <c r="K43" i="5"/>
  <c r="P57" i="5"/>
  <c r="P46" i="5"/>
  <c r="K41" i="5"/>
  <c r="K59" i="5"/>
  <c r="U51" i="5"/>
  <c r="P54" i="5"/>
  <c r="P59" i="5"/>
  <c r="K58" i="5"/>
  <c r="K55" i="5"/>
  <c r="U54" i="5"/>
  <c r="P49" i="5"/>
  <c r="P41" i="5"/>
  <c r="U50" i="5"/>
  <c r="K51" i="5"/>
  <c r="L67" i="5"/>
  <c r="Q67" i="5"/>
  <c r="B67" i="5"/>
  <c r="G67" i="5"/>
  <c r="U57" i="5"/>
  <c r="U47" i="5"/>
  <c r="P48" i="5"/>
  <c r="E7" i="4"/>
  <c r="E21" i="4"/>
  <c r="E12" i="4"/>
  <c r="E25" i="4"/>
  <c r="E27" i="4"/>
  <c r="E14" i="4"/>
  <c r="E29" i="4"/>
  <c r="E20" i="4"/>
  <c r="E17" i="4"/>
  <c r="E23" i="4"/>
  <c r="E18" i="4"/>
  <c r="E8" i="4"/>
  <c r="E16" i="4"/>
  <c r="E4" i="4"/>
  <c r="E6" i="4"/>
  <c r="E10" i="4"/>
  <c r="E15" i="4"/>
  <c r="E28" i="4"/>
  <c r="E13" i="4"/>
  <c r="E19" i="4"/>
  <c r="E24" i="4"/>
  <c r="E22" i="4"/>
  <c r="E26" i="4"/>
  <c r="E11" i="4"/>
  <c r="E30" i="4"/>
  <c r="E5" i="4"/>
  <c r="E3" i="4"/>
  <c r="E9" i="4"/>
  <c r="B83" i="31" l="1"/>
  <c r="F3" i="4" a="1"/>
  <c r="F8" i="4" s="1"/>
  <c r="N10" i="4"/>
  <c r="R12" i="4" s="1"/>
  <c r="C32" i="4"/>
  <c r="N11" i="4"/>
  <c r="P11" i="4" s="1"/>
  <c r="R11" i="4" s="1"/>
  <c r="C31" i="4"/>
  <c r="M70" i="5"/>
  <c r="I67" i="5"/>
  <c r="S67" i="5"/>
  <c r="D67" i="5"/>
  <c r="N67" i="5"/>
  <c r="D46" i="5"/>
  <c r="I45" i="5"/>
  <c r="S45" i="5"/>
  <c r="N45" i="5"/>
  <c r="C70" i="5"/>
  <c r="H70" i="5"/>
  <c r="R70" i="5"/>
  <c r="C49" i="5"/>
  <c r="H48" i="5"/>
  <c r="R48" i="5"/>
  <c r="M48" i="5"/>
  <c r="P74" i="5"/>
  <c r="U74" i="5"/>
  <c r="F74" i="5"/>
  <c r="K74" i="5"/>
  <c r="K71" i="5"/>
  <c r="P71" i="5"/>
  <c r="U71" i="5"/>
  <c r="F71" i="5"/>
  <c r="K83" i="5"/>
  <c r="P83" i="5"/>
  <c r="F83" i="5"/>
  <c r="U83" i="5"/>
  <c r="F68" i="5"/>
  <c r="K68" i="5"/>
  <c r="P68" i="5"/>
  <c r="U68" i="5"/>
  <c r="U69" i="5"/>
  <c r="F69" i="5"/>
  <c r="K69" i="5"/>
  <c r="P69" i="5"/>
  <c r="P78" i="5"/>
  <c r="K78" i="5"/>
  <c r="U78" i="5"/>
  <c r="F78" i="5"/>
  <c r="F80" i="5"/>
  <c r="K80" i="5"/>
  <c r="P80" i="5"/>
  <c r="U80" i="5"/>
  <c r="U81" i="5"/>
  <c r="F81" i="5"/>
  <c r="K81" i="5"/>
  <c r="P81" i="5"/>
  <c r="K75" i="5"/>
  <c r="F75" i="5"/>
  <c r="P75" i="5"/>
  <c r="U75" i="5"/>
  <c r="U73" i="5"/>
  <c r="F73" i="5"/>
  <c r="K73" i="5"/>
  <c r="P73" i="5"/>
  <c r="U77" i="5"/>
  <c r="F77" i="5"/>
  <c r="K77" i="5"/>
  <c r="P77" i="5"/>
  <c r="P82" i="5"/>
  <c r="U82" i="5"/>
  <c r="F82" i="5"/>
  <c r="K82" i="5"/>
  <c r="F72" i="5"/>
  <c r="K72" i="5"/>
  <c r="P72" i="5"/>
  <c r="U72" i="5"/>
  <c r="F64" i="5"/>
  <c r="K64" i="5"/>
  <c r="P64" i="5"/>
  <c r="U64" i="5"/>
  <c r="K67" i="5"/>
  <c r="P67" i="5"/>
  <c r="F67" i="5"/>
  <c r="U67" i="5"/>
  <c r="K79" i="5"/>
  <c r="P79" i="5"/>
  <c r="F79" i="5"/>
  <c r="U79" i="5"/>
  <c r="G68" i="5"/>
  <c r="L68" i="5"/>
  <c r="B68" i="5"/>
  <c r="Q68" i="5"/>
  <c r="P66" i="5"/>
  <c r="U66" i="5"/>
  <c r="F66" i="5"/>
  <c r="K66" i="5"/>
  <c r="B47" i="5"/>
  <c r="G46" i="5"/>
  <c r="Q46" i="5"/>
  <c r="L46" i="5"/>
  <c r="F76" i="5"/>
  <c r="K76" i="5"/>
  <c r="P76" i="5"/>
  <c r="U76" i="5"/>
  <c r="U65" i="5"/>
  <c r="F65" i="5"/>
  <c r="P65" i="5"/>
  <c r="K65" i="5"/>
  <c r="P70" i="5"/>
  <c r="U70" i="5"/>
  <c r="F70" i="5"/>
  <c r="K70" i="5"/>
  <c r="E32" i="4"/>
  <c r="E31" i="4"/>
  <c r="C55" i="4"/>
  <c r="C35" i="4"/>
  <c r="E35" i="4" s="1" a="1"/>
  <c r="E35" i="4" s="1"/>
  <c r="P10" i="4"/>
  <c r="R15" i="4" a="1"/>
  <c r="B84" i="31" l="1"/>
  <c r="Q10" i="4"/>
  <c r="R10" i="4" s="1"/>
  <c r="F11" i="4"/>
  <c r="F28" i="4"/>
  <c r="F20" i="4"/>
  <c r="F9" i="4"/>
  <c r="F6" i="4"/>
  <c r="F15" i="4"/>
  <c r="F24" i="4"/>
  <c r="F13" i="4"/>
  <c r="F5" i="4"/>
  <c r="F18" i="4"/>
  <c r="F7" i="4"/>
  <c r="F25" i="4"/>
  <c r="F12" i="4"/>
  <c r="F19" i="4"/>
  <c r="F29" i="4"/>
  <c r="F22" i="4"/>
  <c r="F4" i="4"/>
  <c r="F30" i="4"/>
  <c r="F10" i="4"/>
  <c r="F14" i="4"/>
  <c r="F26" i="4"/>
  <c r="F17" i="4"/>
  <c r="F3" i="4"/>
  <c r="F27" i="4"/>
  <c r="F23" i="4"/>
  <c r="F21" i="4"/>
  <c r="F16" i="4"/>
  <c r="R17" i="4"/>
  <c r="S17" i="4" s="1"/>
  <c r="R19" i="4"/>
  <c r="S19" i="4" s="1"/>
  <c r="R16" i="4"/>
  <c r="S16" i="4" s="1"/>
  <c r="R15" i="4"/>
  <c r="S15" i="4" s="1"/>
  <c r="R18" i="4"/>
  <c r="S18" i="4" s="1"/>
  <c r="R20" i="4"/>
  <c r="S20" i="4" s="1"/>
  <c r="N68" i="5"/>
  <c r="I68" i="5"/>
  <c r="S68" i="5"/>
  <c r="D68" i="5"/>
  <c r="D47" i="5"/>
  <c r="S46" i="5"/>
  <c r="I46" i="5"/>
  <c r="N46" i="5"/>
  <c r="H71" i="5"/>
  <c r="M71" i="5"/>
  <c r="R71" i="5"/>
  <c r="C71" i="5"/>
  <c r="C50" i="5"/>
  <c r="R49" i="5"/>
  <c r="M49" i="5"/>
  <c r="H49" i="5"/>
  <c r="B69" i="5"/>
  <c r="G69" i="5"/>
  <c r="L69" i="5"/>
  <c r="Q69" i="5"/>
  <c r="B48" i="5"/>
  <c r="G47" i="5"/>
  <c r="L47" i="5"/>
  <c r="Q47" i="5"/>
  <c r="L35" i="4"/>
  <c r="C36" i="4" s="1"/>
  <c r="E55" i="4" a="1"/>
  <c r="E55" i="4" s="1"/>
  <c r="F55" i="4" a="1"/>
  <c r="F55" i="4" s="1"/>
  <c r="F35" i="4" a="1"/>
  <c r="F35" i="4" s="1"/>
  <c r="B85" i="31" l="1"/>
  <c r="K37" i="4" a="1"/>
  <c r="K38" i="4" s="1"/>
  <c r="F32" i="4"/>
  <c r="F31" i="4"/>
  <c r="L37" i="4"/>
  <c r="L38" i="4"/>
  <c r="S69" i="5"/>
  <c r="I69" i="5"/>
  <c r="N69" i="5"/>
  <c r="D69" i="5"/>
  <c r="D48" i="5"/>
  <c r="N47" i="5"/>
  <c r="I47" i="5"/>
  <c r="S47" i="5"/>
  <c r="R72" i="5"/>
  <c r="C72" i="5"/>
  <c r="M72" i="5"/>
  <c r="H72" i="5"/>
  <c r="C51" i="5"/>
  <c r="H50" i="5"/>
  <c r="R50" i="5"/>
  <c r="M50" i="5"/>
  <c r="Q70" i="5"/>
  <c r="L70" i="5"/>
  <c r="B70" i="5"/>
  <c r="G70" i="5"/>
  <c r="B49" i="5"/>
  <c r="G48" i="5"/>
  <c r="Q48" i="5"/>
  <c r="L48" i="5"/>
  <c r="F36" i="4" a="1"/>
  <c r="F36" i="4" s="1"/>
  <c r="E36" i="4" a="1"/>
  <c r="E36" i="4" s="1"/>
  <c r="C37" i="4"/>
  <c r="T16" i="4"/>
  <c r="M49" i="4" s="1"/>
  <c r="U16" i="4"/>
  <c r="U17" i="4"/>
  <c r="T17" i="4"/>
  <c r="M50" i="4" s="1"/>
  <c r="T18" i="4"/>
  <c r="M51" i="4" s="1"/>
  <c r="U18" i="4"/>
  <c r="T19" i="4"/>
  <c r="M52" i="4" s="1"/>
  <c r="U19" i="4"/>
  <c r="T20" i="4"/>
  <c r="M53" i="4" s="1"/>
  <c r="U20" i="4"/>
  <c r="T15" i="4"/>
  <c r="M48" i="4" s="1"/>
  <c r="U15" i="4"/>
  <c r="B86" i="31" l="1"/>
  <c r="K37" i="4"/>
  <c r="S70" i="5"/>
  <c r="R73" i="5"/>
  <c r="I70" i="5"/>
  <c r="N70" i="5"/>
  <c r="D70" i="5"/>
  <c r="D49" i="5"/>
  <c r="N48" i="5"/>
  <c r="S48" i="5"/>
  <c r="I48" i="5"/>
  <c r="C73" i="5"/>
  <c r="H73" i="5"/>
  <c r="M73" i="5"/>
  <c r="C52" i="5"/>
  <c r="H51" i="5"/>
  <c r="M51" i="5"/>
  <c r="R51" i="5"/>
  <c r="L71" i="5"/>
  <c r="G71" i="5"/>
  <c r="Q71" i="5"/>
  <c r="B71" i="5"/>
  <c r="B50" i="5"/>
  <c r="G49" i="5"/>
  <c r="L49" i="5"/>
  <c r="Q49" i="5"/>
  <c r="M47" i="4"/>
  <c r="M54" i="4" s="1"/>
  <c r="C38" i="4"/>
  <c r="E37" i="4" a="1"/>
  <c r="E37" i="4" s="1"/>
  <c r="F37" i="4" a="1"/>
  <c r="F37" i="4" s="1"/>
  <c r="B87" i="31" l="1"/>
  <c r="D50" i="5"/>
  <c r="S49" i="5"/>
  <c r="I49" i="5"/>
  <c r="N49" i="5"/>
  <c r="N71" i="5"/>
  <c r="S71" i="5"/>
  <c r="I71" i="5"/>
  <c r="D71" i="5"/>
  <c r="C74" i="5"/>
  <c r="C53" i="5"/>
  <c r="H52" i="5"/>
  <c r="R52" i="5"/>
  <c r="M52" i="5"/>
  <c r="H75" i="5" s="1"/>
  <c r="M74" i="5"/>
  <c r="R74" i="5"/>
  <c r="H74" i="5"/>
  <c r="G72" i="5"/>
  <c r="L72" i="5"/>
  <c r="Q72" i="5"/>
  <c r="B72" i="5"/>
  <c r="B51" i="5"/>
  <c r="G50" i="5"/>
  <c r="Q50" i="5"/>
  <c r="L50" i="5"/>
  <c r="C39" i="4"/>
  <c r="F38" i="4" a="1"/>
  <c r="F38" i="4" s="1"/>
  <c r="E38" i="4" a="1"/>
  <c r="E38" i="4" s="1"/>
  <c r="B88" i="31" l="1"/>
  <c r="S72" i="5"/>
  <c r="D72" i="5"/>
  <c r="I72" i="5"/>
  <c r="N72" i="5"/>
  <c r="D51" i="5"/>
  <c r="I50" i="5"/>
  <c r="S50" i="5"/>
  <c r="N50" i="5"/>
  <c r="M75" i="5"/>
  <c r="R75" i="5"/>
  <c r="C75" i="5"/>
  <c r="C54" i="5"/>
  <c r="M53" i="5"/>
  <c r="H53" i="5"/>
  <c r="R53" i="5"/>
  <c r="B52" i="5"/>
  <c r="G51" i="5"/>
  <c r="L51" i="5"/>
  <c r="Q51" i="5"/>
  <c r="B73" i="5"/>
  <c r="G73" i="5"/>
  <c r="L73" i="5"/>
  <c r="Q73" i="5"/>
  <c r="C40" i="4"/>
  <c r="E39" i="4" a="1"/>
  <c r="E39" i="4" s="1"/>
  <c r="F39" i="4" a="1"/>
  <c r="F39" i="4" s="1"/>
  <c r="M76" i="5" l="1"/>
  <c r="B89" i="31"/>
  <c r="D52" i="5"/>
  <c r="N51" i="5"/>
  <c r="I51" i="5"/>
  <c r="S51" i="5"/>
  <c r="S73" i="5"/>
  <c r="I73" i="5"/>
  <c r="N73" i="5"/>
  <c r="D73" i="5"/>
  <c r="H76" i="5"/>
  <c r="C76" i="5"/>
  <c r="R76" i="5"/>
  <c r="C55" i="5"/>
  <c r="H54" i="5"/>
  <c r="R54" i="5"/>
  <c r="M54" i="5"/>
  <c r="Q74" i="5"/>
  <c r="B74" i="5"/>
  <c r="G74" i="5"/>
  <c r="L74" i="5"/>
  <c r="B53" i="5"/>
  <c r="G52" i="5"/>
  <c r="L52" i="5"/>
  <c r="Q52" i="5"/>
  <c r="F40" i="4" a="1"/>
  <c r="F40" i="4" s="1"/>
  <c r="C41" i="4"/>
  <c r="E40" i="4" a="1"/>
  <c r="E40" i="4" s="1"/>
  <c r="C77" i="5" l="1"/>
  <c r="R77" i="5"/>
  <c r="B90" i="31"/>
  <c r="I74" i="5"/>
  <c r="S74" i="5"/>
  <c r="N74" i="5"/>
  <c r="D74" i="5"/>
  <c r="D53" i="5"/>
  <c r="N52" i="5"/>
  <c r="I52" i="5"/>
  <c r="S52" i="5"/>
  <c r="H77" i="5"/>
  <c r="M77" i="5"/>
  <c r="C56" i="5"/>
  <c r="R55" i="5"/>
  <c r="H55" i="5"/>
  <c r="M55" i="5"/>
  <c r="L75" i="5"/>
  <c r="Q75" i="5"/>
  <c r="B75" i="5"/>
  <c r="G75" i="5"/>
  <c r="B54" i="5"/>
  <c r="G53" i="5"/>
  <c r="L53" i="5"/>
  <c r="Q53" i="5"/>
  <c r="E41" i="4" a="1"/>
  <c r="E41" i="4" s="1"/>
  <c r="C42" i="4"/>
  <c r="F41" i="4" a="1"/>
  <c r="F41" i="4" s="1"/>
  <c r="B91" i="31" l="1"/>
  <c r="S75" i="5"/>
  <c r="I75" i="5"/>
  <c r="N75" i="5"/>
  <c r="D75" i="5"/>
  <c r="D54" i="5"/>
  <c r="S53" i="5"/>
  <c r="I53" i="5"/>
  <c r="N53" i="5"/>
  <c r="H78" i="5"/>
  <c r="M78" i="5"/>
  <c r="R78" i="5"/>
  <c r="C78" i="5"/>
  <c r="C57" i="5"/>
  <c r="H56" i="5"/>
  <c r="R56" i="5"/>
  <c r="M56" i="5"/>
  <c r="G76" i="5"/>
  <c r="Q76" i="5"/>
  <c r="L76" i="5"/>
  <c r="B76" i="5"/>
  <c r="B55" i="5"/>
  <c r="G54" i="5"/>
  <c r="Q54" i="5"/>
  <c r="L54" i="5"/>
  <c r="C43" i="4"/>
  <c r="F42" i="4" a="1"/>
  <c r="F42" i="4" s="1"/>
  <c r="E42" i="4" a="1"/>
  <c r="E42" i="4" s="1"/>
  <c r="C79" i="5" l="1"/>
  <c r="B92" i="31"/>
  <c r="M79" i="5"/>
  <c r="N76" i="5"/>
  <c r="I76" i="5"/>
  <c r="S76" i="5"/>
  <c r="D76" i="5"/>
  <c r="D55" i="5"/>
  <c r="S54" i="5"/>
  <c r="N54" i="5"/>
  <c r="I54" i="5"/>
  <c r="C58" i="5"/>
  <c r="M57" i="5"/>
  <c r="H57" i="5"/>
  <c r="R57" i="5"/>
  <c r="H79" i="5"/>
  <c r="R79" i="5"/>
  <c r="B77" i="5"/>
  <c r="G77" i="5"/>
  <c r="L77" i="5"/>
  <c r="Q77" i="5"/>
  <c r="B56" i="5"/>
  <c r="G55" i="5"/>
  <c r="Q55" i="5"/>
  <c r="L55" i="5"/>
  <c r="C44" i="4"/>
  <c r="F43" i="4" a="1"/>
  <c r="F43" i="4" s="1"/>
  <c r="E43" i="4" a="1"/>
  <c r="E43" i="4" s="1"/>
  <c r="B93" i="31" l="1"/>
  <c r="D77" i="5"/>
  <c r="I77" i="5"/>
  <c r="N77" i="5"/>
  <c r="S77" i="5"/>
  <c r="D56" i="5"/>
  <c r="N55" i="5"/>
  <c r="S55" i="5"/>
  <c r="I55" i="5"/>
  <c r="M80" i="5"/>
  <c r="H80" i="5"/>
  <c r="C80" i="5"/>
  <c r="R80" i="5"/>
  <c r="C59" i="5"/>
  <c r="H58" i="5"/>
  <c r="M58" i="5"/>
  <c r="R58" i="5"/>
  <c r="Q78" i="5"/>
  <c r="B78" i="5"/>
  <c r="G78" i="5"/>
  <c r="L78" i="5"/>
  <c r="B57" i="5"/>
  <c r="G56" i="5"/>
  <c r="Q56" i="5"/>
  <c r="L56" i="5"/>
  <c r="C45" i="4"/>
  <c r="F44" i="4" a="1"/>
  <c r="F44" i="4" s="1"/>
  <c r="E44" i="4" a="1"/>
  <c r="E44" i="4" s="1"/>
  <c r="C81" i="5" l="1"/>
  <c r="B94" i="31"/>
  <c r="R81" i="5"/>
  <c r="N78" i="5"/>
  <c r="I78" i="5"/>
  <c r="S78" i="5"/>
  <c r="D78" i="5"/>
  <c r="D57" i="5"/>
  <c r="N56" i="5"/>
  <c r="S56" i="5"/>
  <c r="I56" i="5"/>
  <c r="C60" i="5"/>
  <c r="R59" i="5"/>
  <c r="H59" i="5"/>
  <c r="M59" i="5"/>
  <c r="H81" i="5"/>
  <c r="M81" i="5"/>
  <c r="L79" i="5"/>
  <c r="Q79" i="5"/>
  <c r="B79" i="5"/>
  <c r="G79" i="5"/>
  <c r="B58" i="5"/>
  <c r="G57" i="5"/>
  <c r="L57" i="5"/>
  <c r="Q57" i="5"/>
  <c r="F45" i="4" a="1"/>
  <c r="F45" i="4" s="1"/>
  <c r="C46" i="4"/>
  <c r="E45" i="4" a="1"/>
  <c r="E45" i="4" s="1"/>
  <c r="B95" i="31" l="1"/>
  <c r="H82" i="5"/>
  <c r="N79" i="5"/>
  <c r="S79" i="5"/>
  <c r="D79" i="5"/>
  <c r="I79" i="5"/>
  <c r="D58" i="5"/>
  <c r="S57" i="5"/>
  <c r="N57" i="5"/>
  <c r="I57" i="5"/>
  <c r="R82" i="5"/>
  <c r="C82" i="5"/>
  <c r="M82" i="5"/>
  <c r="H60" i="5"/>
  <c r="R60" i="5"/>
  <c r="M83" i="5" s="1"/>
  <c r="M60" i="5"/>
  <c r="G80" i="5"/>
  <c r="B80" i="5"/>
  <c r="L80" i="5"/>
  <c r="Q80" i="5"/>
  <c r="B59" i="5"/>
  <c r="G58" i="5"/>
  <c r="Q58" i="5"/>
  <c r="L58" i="5"/>
  <c r="C47" i="4"/>
  <c r="E46" i="4" a="1"/>
  <c r="E46" i="4" s="1"/>
  <c r="F46" i="4" a="1"/>
  <c r="F46" i="4" s="1"/>
  <c r="C83" i="5" l="1"/>
  <c r="B96" i="31"/>
  <c r="N80" i="5"/>
  <c r="D80" i="5"/>
  <c r="S80" i="5"/>
  <c r="I80" i="5"/>
  <c r="D59" i="5"/>
  <c r="I58" i="5"/>
  <c r="S58" i="5"/>
  <c r="N58" i="5"/>
  <c r="R83" i="5"/>
  <c r="H83" i="5"/>
  <c r="B81" i="5"/>
  <c r="G81" i="5"/>
  <c r="L81" i="5"/>
  <c r="Q81" i="5"/>
  <c r="B60" i="5"/>
  <c r="G59" i="5"/>
  <c r="Q59" i="5"/>
  <c r="L59" i="5"/>
  <c r="C48" i="4"/>
  <c r="E47" i="4" a="1"/>
  <c r="E47" i="4" s="1"/>
  <c r="F47" i="4" a="1"/>
  <c r="F47" i="4" s="1"/>
  <c r="B97" i="31" l="1"/>
  <c r="D81" i="5"/>
  <c r="S81" i="5"/>
  <c r="N81" i="5"/>
  <c r="I81" i="5"/>
  <c r="D60" i="5"/>
  <c r="S59" i="5"/>
  <c r="I59" i="5"/>
  <c r="N59" i="5"/>
  <c r="Q82" i="5"/>
  <c r="B82" i="5"/>
  <c r="G82" i="5"/>
  <c r="L82" i="5"/>
  <c r="G60" i="5"/>
  <c r="L60" i="5"/>
  <c r="Q60" i="5"/>
  <c r="C49" i="4"/>
  <c r="E48" i="4" a="1"/>
  <c r="E48" i="4" s="1"/>
  <c r="F48" i="4" a="1"/>
  <c r="F48" i="4" s="1"/>
  <c r="B98" i="31" l="1"/>
  <c r="D82" i="5"/>
  <c r="S82" i="5"/>
  <c r="N82" i="5"/>
  <c r="I82" i="5"/>
  <c r="I60" i="5"/>
  <c r="S60" i="5"/>
  <c r="S83" i="5" s="1"/>
  <c r="N60" i="5"/>
  <c r="D83" i="5" s="1"/>
  <c r="L83" i="5"/>
  <c r="Q83" i="5"/>
  <c r="B83" i="5"/>
  <c r="G83" i="5"/>
  <c r="C50" i="4"/>
  <c r="F49" i="4" a="1"/>
  <c r="F49" i="4" s="1"/>
  <c r="E49" i="4" a="1"/>
  <c r="E49" i="4" s="1"/>
  <c r="B99" i="31" l="1"/>
  <c r="N83" i="5"/>
  <c r="I83" i="5"/>
  <c r="C51" i="4"/>
  <c r="E50" i="4" a="1"/>
  <c r="E50" i="4" s="1"/>
  <c r="F50" i="4" a="1"/>
  <c r="F50" i="4" s="1"/>
  <c r="B100" i="31" l="1"/>
  <c r="C52" i="4"/>
  <c r="F51" i="4" a="1"/>
  <c r="F51" i="4" s="1"/>
  <c r="E51" i="4" a="1"/>
  <c r="E51" i="4" s="1"/>
  <c r="B101" i="31" l="1"/>
  <c r="C53" i="4"/>
  <c r="F52" i="4" a="1"/>
  <c r="F52" i="4" s="1"/>
  <c r="E52" i="4" a="1"/>
  <c r="E52" i="4" s="1"/>
  <c r="B102" i="31" l="1"/>
  <c r="C54" i="4"/>
  <c r="F53" i="4" a="1"/>
  <c r="F53" i="4" s="1"/>
  <c r="E53" i="4" a="1"/>
  <c r="E53" i="4" s="1"/>
  <c r="B104" i="31" l="1"/>
  <c r="B103" i="31"/>
  <c r="F54" i="4" a="1"/>
  <c r="F54" i="4" s="1"/>
  <c r="E54" i="4" a="1"/>
  <c r="E54" i="4" s="1"/>
  <c r="D35" i="4" a="1"/>
  <c r="C3" i="31" l="1"/>
  <c r="F3" i="31" s="1"/>
  <c r="C4" i="31"/>
  <c r="F4" i="31" s="1"/>
  <c r="C5" i="31"/>
  <c r="F5" i="31" s="1"/>
  <c r="C6" i="31"/>
  <c r="F6" i="31" s="1"/>
  <c r="C7" i="31"/>
  <c r="F7" i="31" s="1"/>
  <c r="C8" i="31"/>
  <c r="F8" i="31" s="1"/>
  <c r="C9" i="31"/>
  <c r="F9" i="31" s="1"/>
  <c r="C10" i="31"/>
  <c r="F10" i="31" s="1"/>
  <c r="C11" i="31"/>
  <c r="F11" i="31" s="1"/>
  <c r="C12" i="31"/>
  <c r="F12" i="31" s="1"/>
  <c r="C13" i="31"/>
  <c r="F13" i="31" s="1"/>
  <c r="C14" i="31"/>
  <c r="F14" i="31" s="1"/>
  <c r="C15" i="31"/>
  <c r="F15" i="31" s="1"/>
  <c r="C16" i="31"/>
  <c r="F16" i="31" s="1"/>
  <c r="C17" i="31"/>
  <c r="F17" i="31" s="1"/>
  <c r="C18" i="31"/>
  <c r="F18" i="31" s="1"/>
  <c r="C19" i="31"/>
  <c r="F19" i="31" s="1"/>
  <c r="C20" i="31"/>
  <c r="F20" i="31" s="1"/>
  <c r="C21" i="31"/>
  <c r="F21" i="31" s="1"/>
  <c r="C22" i="31"/>
  <c r="F22" i="31" s="1"/>
  <c r="C23" i="31"/>
  <c r="F23" i="31" s="1"/>
  <c r="C24" i="31"/>
  <c r="F24" i="31" s="1"/>
  <c r="C25" i="31"/>
  <c r="F25" i="31" s="1"/>
  <c r="C26" i="31"/>
  <c r="F26" i="31" s="1"/>
  <c r="C27" i="31"/>
  <c r="F27" i="31" s="1"/>
  <c r="C28" i="31"/>
  <c r="F28" i="31" s="1"/>
  <c r="C29" i="31"/>
  <c r="F29" i="31" s="1"/>
  <c r="C30" i="31"/>
  <c r="F30" i="31" s="1"/>
  <c r="C31" i="31"/>
  <c r="F31" i="31" s="1"/>
  <c r="C32" i="31"/>
  <c r="F32" i="31" s="1"/>
  <c r="C33" i="31"/>
  <c r="F33" i="31" s="1"/>
  <c r="C34" i="31"/>
  <c r="F34" i="31" s="1"/>
  <c r="C35" i="31"/>
  <c r="F35" i="31" s="1"/>
  <c r="C36" i="31"/>
  <c r="F36" i="31" s="1"/>
  <c r="C37" i="31"/>
  <c r="F37" i="31" s="1"/>
  <c r="C38" i="31"/>
  <c r="F38" i="31" s="1"/>
  <c r="C39" i="31"/>
  <c r="F39" i="31" s="1"/>
  <c r="C40" i="31"/>
  <c r="F40" i="31" s="1"/>
  <c r="C41" i="31"/>
  <c r="F41" i="31" s="1"/>
  <c r="C42" i="31"/>
  <c r="F42" i="31" s="1"/>
  <c r="C43" i="31"/>
  <c r="F43" i="31" s="1"/>
  <c r="C44" i="31"/>
  <c r="F44" i="31" s="1"/>
  <c r="C45" i="31"/>
  <c r="F45" i="31" s="1"/>
  <c r="C46" i="31"/>
  <c r="F46" i="31" s="1"/>
  <c r="C47" i="31"/>
  <c r="F47" i="31" s="1"/>
  <c r="C48" i="31"/>
  <c r="F48" i="31" s="1"/>
  <c r="C49" i="31"/>
  <c r="F49" i="31" s="1"/>
  <c r="C50" i="31"/>
  <c r="F50" i="31" s="1"/>
  <c r="C51" i="31"/>
  <c r="F51" i="31" s="1"/>
  <c r="C52" i="31"/>
  <c r="F52" i="31" s="1"/>
  <c r="C53" i="31"/>
  <c r="F53" i="31" s="1"/>
  <c r="C54" i="31"/>
  <c r="F54" i="31" s="1"/>
  <c r="C55" i="31"/>
  <c r="F55" i="31" s="1"/>
  <c r="C56" i="31"/>
  <c r="F56" i="31" s="1"/>
  <c r="C57" i="31"/>
  <c r="F57" i="31" s="1"/>
  <c r="C58" i="31"/>
  <c r="F58" i="31" s="1"/>
  <c r="C59" i="31"/>
  <c r="F59" i="31" s="1"/>
  <c r="C60" i="31"/>
  <c r="F60" i="31" s="1"/>
  <c r="C61" i="31"/>
  <c r="F61" i="31" s="1"/>
  <c r="C62" i="31"/>
  <c r="F62" i="31" s="1"/>
  <c r="C63" i="31"/>
  <c r="F63" i="31" s="1"/>
  <c r="C64" i="31"/>
  <c r="F64" i="31" s="1"/>
  <c r="C65" i="31"/>
  <c r="F65" i="31" s="1"/>
  <c r="C66" i="31"/>
  <c r="F66" i="31" s="1"/>
  <c r="C67" i="31"/>
  <c r="F67" i="31" s="1"/>
  <c r="C68" i="31"/>
  <c r="F68" i="31" s="1"/>
  <c r="C69" i="31"/>
  <c r="F69" i="31" s="1"/>
  <c r="C70" i="31"/>
  <c r="F70" i="31" s="1"/>
  <c r="C71" i="31"/>
  <c r="F71" i="31" s="1"/>
  <c r="C72" i="31"/>
  <c r="F72" i="31" s="1"/>
  <c r="C73" i="31"/>
  <c r="F73" i="31" s="1"/>
  <c r="C74" i="31"/>
  <c r="F74" i="31" s="1"/>
  <c r="C75" i="31"/>
  <c r="F75" i="31" s="1"/>
  <c r="C76" i="31"/>
  <c r="F76" i="31" s="1"/>
  <c r="C77" i="31"/>
  <c r="F77" i="31" s="1"/>
  <c r="C78" i="31"/>
  <c r="F78" i="31" s="1"/>
  <c r="C79" i="31"/>
  <c r="F79" i="31" s="1"/>
  <c r="C80" i="31"/>
  <c r="F80" i="31" s="1"/>
  <c r="C81" i="31"/>
  <c r="F81" i="31" s="1"/>
  <c r="C82" i="31"/>
  <c r="F82" i="31" s="1"/>
  <c r="C83" i="31"/>
  <c r="F83" i="31" s="1"/>
  <c r="C84" i="31"/>
  <c r="F84" i="31" s="1"/>
  <c r="C85" i="31"/>
  <c r="F85" i="31" s="1"/>
  <c r="C86" i="31"/>
  <c r="F86" i="31" s="1"/>
  <c r="C87" i="31"/>
  <c r="F87" i="31" s="1"/>
  <c r="C88" i="31"/>
  <c r="F88" i="31" s="1"/>
  <c r="C89" i="31"/>
  <c r="F89" i="31" s="1"/>
  <c r="C90" i="31"/>
  <c r="F90" i="31" s="1"/>
  <c r="C91" i="31"/>
  <c r="F91" i="31" s="1"/>
  <c r="C92" i="31"/>
  <c r="F92" i="31" s="1"/>
  <c r="C93" i="31"/>
  <c r="F93" i="31" s="1"/>
  <c r="C94" i="31"/>
  <c r="F94" i="31" s="1"/>
  <c r="C95" i="31"/>
  <c r="F95" i="31" s="1"/>
  <c r="C96" i="31"/>
  <c r="F96" i="31" s="1"/>
  <c r="C97" i="31"/>
  <c r="F97" i="31" s="1"/>
  <c r="C98" i="31"/>
  <c r="F98" i="31" s="1"/>
  <c r="C99" i="31"/>
  <c r="F99" i="31" s="1"/>
  <c r="C100" i="31"/>
  <c r="F100" i="31" s="1"/>
  <c r="C101" i="31"/>
  <c r="F101" i="31" s="1"/>
  <c r="C102" i="31"/>
  <c r="D47" i="4"/>
  <c r="D55" i="4"/>
  <c r="D35" i="4"/>
  <c r="D51" i="4"/>
  <c r="D42" i="4"/>
  <c r="D46" i="4"/>
  <c r="D44" i="4"/>
  <c r="D54" i="4"/>
  <c r="D52" i="4"/>
  <c r="D37" i="4"/>
  <c r="D38" i="4"/>
  <c r="D43" i="4"/>
  <c r="D41" i="4"/>
  <c r="D49" i="4"/>
  <c r="D40" i="4"/>
  <c r="D53" i="4"/>
  <c r="D36" i="4"/>
  <c r="D48" i="4"/>
  <c r="D45" i="4"/>
  <c r="D39" i="4"/>
  <c r="D50" i="4"/>
  <c r="K17" i="31" l="1"/>
  <c r="L17" i="31"/>
  <c r="M17" i="31"/>
  <c r="O17" i="31"/>
  <c r="G17" i="31"/>
  <c r="H17" i="31"/>
  <c r="I17" i="31"/>
  <c r="J17" i="31"/>
  <c r="N17" i="31"/>
  <c r="M98" i="31"/>
  <c r="I98" i="31"/>
  <c r="G98" i="31"/>
  <c r="H98" i="31"/>
  <c r="J98" i="31"/>
  <c r="K98" i="31"/>
  <c r="L98" i="31"/>
  <c r="N98" i="31"/>
  <c r="O98" i="31"/>
  <c r="L65" i="31"/>
  <c r="N65" i="31"/>
  <c r="O65" i="31"/>
  <c r="J65" i="31"/>
  <c r="K65" i="31"/>
  <c r="M65" i="31"/>
  <c r="G65" i="31"/>
  <c r="H65" i="31"/>
  <c r="I65" i="31"/>
  <c r="H14" i="31"/>
  <c r="I14" i="31"/>
  <c r="J14" i="31"/>
  <c r="K14" i="31"/>
  <c r="M14" i="31"/>
  <c r="N14" i="31"/>
  <c r="G14" i="31"/>
  <c r="L14" i="31"/>
  <c r="O14" i="31"/>
  <c r="L66" i="31"/>
  <c r="M66" i="31"/>
  <c r="J66" i="31"/>
  <c r="K66" i="31"/>
  <c r="N66" i="31"/>
  <c r="G66" i="31"/>
  <c r="H66" i="31"/>
  <c r="I66" i="31"/>
  <c r="O66" i="31"/>
  <c r="L63" i="31"/>
  <c r="H63" i="31"/>
  <c r="I63" i="31"/>
  <c r="O63" i="31"/>
  <c r="G63" i="31"/>
  <c r="J63" i="31"/>
  <c r="K63" i="31"/>
  <c r="M63" i="31"/>
  <c r="N63" i="31"/>
  <c r="I13" i="31"/>
  <c r="J13" i="31"/>
  <c r="L13" i="31"/>
  <c r="N13" i="31"/>
  <c r="O13" i="31"/>
  <c r="H13" i="31"/>
  <c r="G13" i="31"/>
  <c r="K13" i="31"/>
  <c r="M13" i="31"/>
  <c r="M80" i="31"/>
  <c r="J80" i="31"/>
  <c r="I80" i="31"/>
  <c r="K80" i="31"/>
  <c r="G80" i="31"/>
  <c r="H80" i="31"/>
  <c r="L80" i="31"/>
  <c r="N80" i="31"/>
  <c r="O80" i="31"/>
  <c r="M94" i="31"/>
  <c r="I94" i="31"/>
  <c r="O94" i="31"/>
  <c r="G94" i="31"/>
  <c r="H94" i="31"/>
  <c r="J94" i="31"/>
  <c r="K94" i="31"/>
  <c r="L94" i="31"/>
  <c r="N94" i="31"/>
  <c r="H12" i="31"/>
  <c r="I12" i="31"/>
  <c r="K12" i="31"/>
  <c r="M12" i="31"/>
  <c r="N12" i="31"/>
  <c r="O12" i="31"/>
  <c r="G12" i="31"/>
  <c r="J12" i="31"/>
  <c r="L12" i="31"/>
  <c r="H50" i="31"/>
  <c r="G50" i="31"/>
  <c r="I50" i="31"/>
  <c r="J50" i="31"/>
  <c r="K50" i="31"/>
  <c r="N50" i="31"/>
  <c r="L50" i="31"/>
  <c r="M50" i="31"/>
  <c r="O50" i="31"/>
  <c r="I16" i="31"/>
  <c r="J16" i="31"/>
  <c r="K16" i="31"/>
  <c r="L16" i="31"/>
  <c r="N16" i="31"/>
  <c r="O16" i="31"/>
  <c r="G16" i="31"/>
  <c r="H16" i="31"/>
  <c r="M16" i="31"/>
  <c r="G30" i="31"/>
  <c r="H30" i="31"/>
  <c r="I30" i="31"/>
  <c r="K30" i="31"/>
  <c r="L30" i="31"/>
  <c r="M30" i="31"/>
  <c r="N30" i="31"/>
  <c r="O30" i="31"/>
  <c r="J30" i="31"/>
  <c r="G91" i="31"/>
  <c r="M91" i="31"/>
  <c r="I91" i="31"/>
  <c r="J91" i="31"/>
  <c r="K91" i="31"/>
  <c r="L91" i="31"/>
  <c r="N91" i="31"/>
  <c r="O91" i="31"/>
  <c r="H91" i="31"/>
  <c r="G11" i="31"/>
  <c r="H11" i="31"/>
  <c r="J11" i="31"/>
  <c r="L11" i="31"/>
  <c r="M11" i="31"/>
  <c r="N11" i="31"/>
  <c r="O11" i="31"/>
  <c r="I11" i="31"/>
  <c r="K11" i="31"/>
  <c r="G18" i="31"/>
  <c r="L18" i="31"/>
  <c r="M18" i="31"/>
  <c r="N18" i="31"/>
  <c r="I18" i="31"/>
  <c r="J18" i="31"/>
  <c r="K18" i="31"/>
  <c r="O18" i="31"/>
  <c r="H18" i="31"/>
  <c r="L48" i="31"/>
  <c r="G48" i="31"/>
  <c r="H48" i="31"/>
  <c r="I48" i="31"/>
  <c r="K48" i="31"/>
  <c r="M48" i="31"/>
  <c r="O48" i="31"/>
  <c r="J48" i="31"/>
  <c r="N48" i="31"/>
  <c r="L62" i="31"/>
  <c r="M62" i="31"/>
  <c r="J62" i="31"/>
  <c r="G62" i="31"/>
  <c r="I62" i="31"/>
  <c r="K62" i="31"/>
  <c r="H62" i="31"/>
  <c r="N62" i="31"/>
  <c r="O62" i="31"/>
  <c r="M76" i="31"/>
  <c r="J76" i="31"/>
  <c r="O76" i="31"/>
  <c r="G76" i="31"/>
  <c r="H76" i="31"/>
  <c r="I76" i="31"/>
  <c r="K76" i="31"/>
  <c r="L76" i="31"/>
  <c r="N76" i="31"/>
  <c r="M90" i="31"/>
  <c r="N90" i="31"/>
  <c r="L90" i="31"/>
  <c r="O90" i="31"/>
  <c r="G90" i="31"/>
  <c r="H90" i="31"/>
  <c r="I90" i="31"/>
  <c r="J90" i="31"/>
  <c r="K90" i="31"/>
  <c r="H26" i="31"/>
  <c r="J26" i="31"/>
  <c r="I26" i="31"/>
  <c r="K26" i="31"/>
  <c r="L26" i="31"/>
  <c r="M26" i="31"/>
  <c r="N26" i="31"/>
  <c r="O26" i="31"/>
  <c r="G26" i="31"/>
  <c r="G10" i="31"/>
  <c r="I10" i="31"/>
  <c r="K10" i="31"/>
  <c r="L10" i="31"/>
  <c r="M10" i="31"/>
  <c r="N10" i="31"/>
  <c r="H10" i="31"/>
  <c r="J10" i="31"/>
  <c r="O10" i="31"/>
  <c r="G34" i="31"/>
  <c r="I34" i="31"/>
  <c r="J34" i="31"/>
  <c r="K34" i="31"/>
  <c r="L34" i="31"/>
  <c r="N34" i="31"/>
  <c r="O34" i="31"/>
  <c r="H34" i="31"/>
  <c r="M34" i="31"/>
  <c r="G32" i="31"/>
  <c r="H32" i="31"/>
  <c r="M32" i="31"/>
  <c r="K32" i="31"/>
  <c r="N32" i="31"/>
  <c r="O32" i="31"/>
  <c r="I32" i="31"/>
  <c r="J32" i="31"/>
  <c r="L32" i="31"/>
  <c r="K46" i="31"/>
  <c r="L46" i="31"/>
  <c r="M46" i="31"/>
  <c r="N46" i="31"/>
  <c r="O46" i="31"/>
  <c r="H46" i="31"/>
  <c r="I46" i="31"/>
  <c r="J46" i="31"/>
  <c r="G46" i="31"/>
  <c r="L44" i="31"/>
  <c r="M44" i="31"/>
  <c r="O44" i="31"/>
  <c r="G44" i="31"/>
  <c r="I44" i="31"/>
  <c r="J44" i="31"/>
  <c r="K44" i="31"/>
  <c r="N44" i="31"/>
  <c r="H44" i="31"/>
  <c r="J41" i="31"/>
  <c r="K41" i="31"/>
  <c r="L41" i="31"/>
  <c r="N41" i="31"/>
  <c r="G41" i="31"/>
  <c r="H41" i="31"/>
  <c r="I41" i="31"/>
  <c r="M41" i="31"/>
  <c r="O41" i="31"/>
  <c r="H9" i="31"/>
  <c r="J9" i="31"/>
  <c r="K9" i="31"/>
  <c r="L9" i="31"/>
  <c r="M9" i="31"/>
  <c r="O9" i="31"/>
  <c r="G9" i="31"/>
  <c r="I9" i="31"/>
  <c r="N9" i="31"/>
  <c r="L81" i="31"/>
  <c r="M81" i="31"/>
  <c r="G81" i="31"/>
  <c r="H81" i="31"/>
  <c r="I81" i="31"/>
  <c r="J81" i="31"/>
  <c r="K81" i="31"/>
  <c r="N81" i="31"/>
  <c r="O81" i="31"/>
  <c r="J31" i="31"/>
  <c r="G31" i="31"/>
  <c r="H31" i="31"/>
  <c r="I31" i="31"/>
  <c r="K31" i="31"/>
  <c r="L31" i="31"/>
  <c r="M31" i="31"/>
  <c r="N31" i="31"/>
  <c r="O31" i="31"/>
  <c r="N29" i="31"/>
  <c r="O29" i="31"/>
  <c r="H29" i="31"/>
  <c r="J29" i="31"/>
  <c r="K29" i="31"/>
  <c r="L29" i="31"/>
  <c r="M29" i="31"/>
  <c r="G29" i="31"/>
  <c r="I29" i="31"/>
  <c r="G59" i="31"/>
  <c r="H59" i="31"/>
  <c r="K59" i="31"/>
  <c r="J59" i="31"/>
  <c r="M59" i="31"/>
  <c r="O59" i="31"/>
  <c r="I59" i="31"/>
  <c r="L59" i="31"/>
  <c r="N59" i="31"/>
  <c r="J89" i="31"/>
  <c r="K89" i="31"/>
  <c r="G89" i="31"/>
  <c r="H89" i="31"/>
  <c r="I89" i="31"/>
  <c r="L89" i="31"/>
  <c r="M89" i="31"/>
  <c r="N89" i="31"/>
  <c r="O89" i="31"/>
  <c r="H40" i="31"/>
  <c r="O40" i="31"/>
  <c r="N40" i="31"/>
  <c r="G40" i="31"/>
  <c r="I40" i="31"/>
  <c r="J40" i="31"/>
  <c r="K40" i="31"/>
  <c r="L40" i="31"/>
  <c r="M40" i="31"/>
  <c r="L24" i="31"/>
  <c r="M24" i="31"/>
  <c r="I24" i="31"/>
  <c r="K24" i="31"/>
  <c r="N24" i="31"/>
  <c r="O24" i="31"/>
  <c r="G24" i="31"/>
  <c r="H24" i="31"/>
  <c r="J24" i="31"/>
  <c r="G8" i="31"/>
  <c r="I8" i="31"/>
  <c r="J8" i="31"/>
  <c r="K8" i="31"/>
  <c r="L8" i="31"/>
  <c r="N8" i="31"/>
  <c r="O8" i="31"/>
  <c r="H8" i="31"/>
  <c r="M8" i="31"/>
  <c r="G33" i="31"/>
  <c r="H33" i="31"/>
  <c r="I33" i="31"/>
  <c r="K33" i="31"/>
  <c r="L33" i="31"/>
  <c r="M33" i="31"/>
  <c r="N33" i="31"/>
  <c r="O33" i="31"/>
  <c r="J33" i="31"/>
  <c r="O79" i="31"/>
  <c r="G79" i="31"/>
  <c r="H79" i="31"/>
  <c r="I79" i="31"/>
  <c r="J79" i="31"/>
  <c r="K79" i="31"/>
  <c r="L79" i="31"/>
  <c r="M79" i="31"/>
  <c r="N79" i="31"/>
  <c r="L61" i="31"/>
  <c r="H61" i="31"/>
  <c r="J61" i="31"/>
  <c r="M61" i="31"/>
  <c r="N61" i="31"/>
  <c r="G61" i="31"/>
  <c r="I61" i="31"/>
  <c r="K61" i="31"/>
  <c r="O61" i="31"/>
  <c r="N43" i="31"/>
  <c r="G43" i="31"/>
  <c r="I43" i="31"/>
  <c r="J43" i="31"/>
  <c r="K43" i="31"/>
  <c r="L43" i="31"/>
  <c r="M43" i="31"/>
  <c r="O43" i="31"/>
  <c r="H43" i="31"/>
  <c r="G57" i="31"/>
  <c r="H57" i="31"/>
  <c r="M57" i="31"/>
  <c r="N57" i="31"/>
  <c r="J57" i="31"/>
  <c r="K57" i="31"/>
  <c r="I57" i="31"/>
  <c r="L57" i="31"/>
  <c r="O57" i="31"/>
  <c r="L71" i="31"/>
  <c r="G71" i="31"/>
  <c r="H71" i="31"/>
  <c r="I71" i="31"/>
  <c r="J71" i="31"/>
  <c r="K71" i="31"/>
  <c r="M71" i="31"/>
  <c r="N71" i="31"/>
  <c r="O71" i="31"/>
  <c r="M39" i="31"/>
  <c r="H39" i="31"/>
  <c r="J39" i="31"/>
  <c r="K39" i="31"/>
  <c r="G39" i="31"/>
  <c r="I39" i="31"/>
  <c r="L39" i="31"/>
  <c r="O39" i="31"/>
  <c r="N39" i="31"/>
  <c r="K23" i="31"/>
  <c r="L23" i="31"/>
  <c r="N23" i="31"/>
  <c r="G23" i="31"/>
  <c r="H23" i="31"/>
  <c r="I23" i="31"/>
  <c r="J23" i="31"/>
  <c r="M23" i="31"/>
  <c r="O23" i="31"/>
  <c r="H7" i="31"/>
  <c r="I7" i="31"/>
  <c r="J7" i="31"/>
  <c r="K7" i="31"/>
  <c r="M7" i="31"/>
  <c r="N7" i="31"/>
  <c r="G7" i="31"/>
  <c r="L7" i="31"/>
  <c r="O7" i="31"/>
  <c r="L64" i="31"/>
  <c r="M64" i="31"/>
  <c r="J64" i="31"/>
  <c r="N64" i="31"/>
  <c r="G64" i="31"/>
  <c r="H64" i="31"/>
  <c r="I64" i="31"/>
  <c r="K64" i="31"/>
  <c r="O64" i="31"/>
  <c r="M78" i="31"/>
  <c r="J78" i="31"/>
  <c r="K78" i="31"/>
  <c r="L78" i="31"/>
  <c r="G78" i="31"/>
  <c r="H78" i="31"/>
  <c r="I78" i="31"/>
  <c r="N78" i="31"/>
  <c r="O78" i="31"/>
  <c r="K28" i="31"/>
  <c r="L28" i="31"/>
  <c r="N28" i="31"/>
  <c r="G28" i="31"/>
  <c r="H28" i="31"/>
  <c r="I28" i="31"/>
  <c r="J28" i="31"/>
  <c r="M28" i="31"/>
  <c r="O28" i="31"/>
  <c r="H42" i="31"/>
  <c r="N42" i="31"/>
  <c r="O42" i="31"/>
  <c r="G42" i="31"/>
  <c r="I42" i="31"/>
  <c r="J42" i="31"/>
  <c r="K42" i="31"/>
  <c r="L42" i="31"/>
  <c r="M42" i="31"/>
  <c r="M88" i="31"/>
  <c r="I88" i="31"/>
  <c r="J88" i="31"/>
  <c r="G88" i="31"/>
  <c r="H88" i="31"/>
  <c r="K88" i="31"/>
  <c r="L88" i="31"/>
  <c r="N88" i="31"/>
  <c r="O88" i="31"/>
  <c r="I38" i="31"/>
  <c r="K38" i="31"/>
  <c r="L38" i="31"/>
  <c r="M38" i="31"/>
  <c r="G38" i="31"/>
  <c r="H38" i="31"/>
  <c r="J38" i="31"/>
  <c r="N38" i="31"/>
  <c r="O38" i="31"/>
  <c r="J22" i="31"/>
  <c r="K22" i="31"/>
  <c r="G22" i="31"/>
  <c r="H22" i="31"/>
  <c r="I22" i="31"/>
  <c r="L22" i="31"/>
  <c r="M22" i="31"/>
  <c r="N22" i="31"/>
  <c r="O22" i="31"/>
  <c r="G6" i="31"/>
  <c r="H6" i="31"/>
  <c r="I6" i="31"/>
  <c r="J6" i="31"/>
  <c r="L6" i="31"/>
  <c r="M6" i="31"/>
  <c r="O6" i="31"/>
  <c r="K6" i="31"/>
  <c r="N6" i="31"/>
  <c r="J49" i="31"/>
  <c r="K49" i="31"/>
  <c r="M49" i="31"/>
  <c r="O49" i="31"/>
  <c r="G49" i="31"/>
  <c r="H49" i="31"/>
  <c r="I49" i="31"/>
  <c r="N49" i="31"/>
  <c r="L49" i="31"/>
  <c r="G47" i="31"/>
  <c r="H47" i="31"/>
  <c r="J47" i="31"/>
  <c r="K47" i="31"/>
  <c r="L47" i="31"/>
  <c r="M47" i="31"/>
  <c r="N47" i="31"/>
  <c r="O47" i="31"/>
  <c r="I47" i="31"/>
  <c r="J45" i="31"/>
  <c r="G45" i="31"/>
  <c r="I45" i="31"/>
  <c r="K45" i="31"/>
  <c r="L45" i="31"/>
  <c r="M45" i="31"/>
  <c r="N45" i="31"/>
  <c r="O45" i="31"/>
  <c r="H45" i="31"/>
  <c r="H27" i="31"/>
  <c r="I27" i="31"/>
  <c r="N27" i="31"/>
  <c r="G27" i="31"/>
  <c r="J27" i="31"/>
  <c r="K27" i="31"/>
  <c r="L27" i="31"/>
  <c r="M27" i="31"/>
  <c r="O27" i="31"/>
  <c r="G25" i="31"/>
  <c r="H25" i="31"/>
  <c r="M25" i="31"/>
  <c r="O25" i="31"/>
  <c r="I25" i="31"/>
  <c r="J25" i="31"/>
  <c r="K25" i="31"/>
  <c r="L25" i="31"/>
  <c r="N25" i="31"/>
  <c r="L69" i="31"/>
  <c r="M69" i="31"/>
  <c r="N69" i="31"/>
  <c r="J69" i="31"/>
  <c r="K69" i="31"/>
  <c r="O69" i="31"/>
  <c r="G69" i="31"/>
  <c r="H69" i="31"/>
  <c r="I69" i="31"/>
  <c r="I21" i="31"/>
  <c r="J21" i="31"/>
  <c r="O21" i="31"/>
  <c r="G21" i="31"/>
  <c r="K21" i="31"/>
  <c r="L21" i="31"/>
  <c r="M21" i="31"/>
  <c r="N21" i="31"/>
  <c r="H21" i="31"/>
  <c r="G5" i="31"/>
  <c r="H5" i="31"/>
  <c r="I5" i="31"/>
  <c r="K5" i="31"/>
  <c r="L5" i="31"/>
  <c r="N5" i="31"/>
  <c r="J5" i="31"/>
  <c r="M5" i="31"/>
  <c r="O5" i="31"/>
  <c r="M82" i="31"/>
  <c r="J82" i="31"/>
  <c r="G82" i="31"/>
  <c r="H82" i="31"/>
  <c r="K82" i="31"/>
  <c r="I82" i="31"/>
  <c r="L82" i="31"/>
  <c r="N82" i="31"/>
  <c r="O82" i="31"/>
  <c r="M96" i="31"/>
  <c r="L96" i="31"/>
  <c r="I96" i="31"/>
  <c r="G96" i="31"/>
  <c r="H96" i="31"/>
  <c r="J96" i="31"/>
  <c r="K96" i="31"/>
  <c r="N96" i="31"/>
  <c r="O96" i="31"/>
  <c r="M95" i="31"/>
  <c r="J95" i="31"/>
  <c r="K95" i="31"/>
  <c r="L95" i="31"/>
  <c r="O95" i="31"/>
  <c r="N95" i="31"/>
  <c r="G95" i="31"/>
  <c r="H95" i="31"/>
  <c r="I95" i="31"/>
  <c r="J93" i="31"/>
  <c r="G93" i="31"/>
  <c r="H93" i="31"/>
  <c r="I93" i="31"/>
  <c r="K93" i="31"/>
  <c r="L93" i="31"/>
  <c r="M93" i="31"/>
  <c r="N93" i="31"/>
  <c r="O93" i="31"/>
  <c r="L60" i="31"/>
  <c r="M60" i="31"/>
  <c r="J60" i="31"/>
  <c r="G60" i="31"/>
  <c r="I60" i="31"/>
  <c r="N60" i="31"/>
  <c r="K60" i="31"/>
  <c r="O60" i="31"/>
  <c r="H60" i="31"/>
  <c r="O58" i="31"/>
  <c r="I58" i="31"/>
  <c r="J58" i="31"/>
  <c r="N58" i="31"/>
  <c r="G58" i="31"/>
  <c r="K58" i="31"/>
  <c r="M58" i="31"/>
  <c r="H58" i="31"/>
  <c r="L58" i="31"/>
  <c r="M72" i="31"/>
  <c r="J72" i="31"/>
  <c r="N72" i="31"/>
  <c r="O72" i="31"/>
  <c r="G72" i="31"/>
  <c r="H72" i="31"/>
  <c r="I72" i="31"/>
  <c r="K72" i="31"/>
  <c r="L72" i="31"/>
  <c r="G87" i="31"/>
  <c r="H87" i="31"/>
  <c r="I87" i="31"/>
  <c r="J87" i="31"/>
  <c r="K87" i="31"/>
  <c r="L87" i="31"/>
  <c r="M87" i="31"/>
  <c r="N87" i="31"/>
  <c r="O87" i="31"/>
  <c r="F102" i="31"/>
  <c r="C103" i="31"/>
  <c r="C104" i="31"/>
  <c r="O54" i="31"/>
  <c r="H54" i="31"/>
  <c r="J54" i="31"/>
  <c r="K54" i="31"/>
  <c r="N54" i="31"/>
  <c r="G54" i="31"/>
  <c r="I54" i="31"/>
  <c r="L54" i="31"/>
  <c r="M54" i="31"/>
  <c r="G53" i="31"/>
  <c r="I53" i="31"/>
  <c r="K53" i="31"/>
  <c r="M53" i="31"/>
  <c r="N53" i="31"/>
  <c r="H53" i="31"/>
  <c r="J53" i="31"/>
  <c r="L53" i="31"/>
  <c r="O53" i="31"/>
  <c r="M100" i="31"/>
  <c r="L100" i="31"/>
  <c r="G100" i="31"/>
  <c r="I100" i="31"/>
  <c r="J100" i="31"/>
  <c r="H100" i="31"/>
  <c r="N100" i="31"/>
  <c r="O100" i="31"/>
  <c r="K100" i="31"/>
  <c r="M84" i="31"/>
  <c r="J84" i="31"/>
  <c r="K84" i="31"/>
  <c r="H84" i="31"/>
  <c r="G84" i="31"/>
  <c r="I84" i="31"/>
  <c r="L84" i="31"/>
  <c r="N84" i="31"/>
  <c r="O84" i="31"/>
  <c r="L68" i="31"/>
  <c r="M68" i="31"/>
  <c r="J68" i="31"/>
  <c r="G68" i="31"/>
  <c r="H68" i="31"/>
  <c r="I68" i="31"/>
  <c r="K68" i="31"/>
  <c r="N68" i="31"/>
  <c r="O68" i="31"/>
  <c r="I52" i="31"/>
  <c r="H52" i="31"/>
  <c r="J52" i="31"/>
  <c r="L52" i="31"/>
  <c r="N52" i="31"/>
  <c r="O52" i="31"/>
  <c r="G52" i="31"/>
  <c r="M52" i="31"/>
  <c r="K52" i="31"/>
  <c r="M36" i="31"/>
  <c r="O36" i="31"/>
  <c r="H36" i="31"/>
  <c r="I36" i="31"/>
  <c r="J36" i="31"/>
  <c r="K36" i="31"/>
  <c r="G36" i="31"/>
  <c r="L36" i="31"/>
  <c r="N36" i="31"/>
  <c r="H20" i="31"/>
  <c r="I20" i="31"/>
  <c r="N20" i="31"/>
  <c r="G20" i="31"/>
  <c r="J20" i="31"/>
  <c r="K20" i="31"/>
  <c r="L20" i="31"/>
  <c r="O20" i="31"/>
  <c r="M20" i="31"/>
  <c r="G4" i="31"/>
  <c r="H4" i="31"/>
  <c r="J4" i="31"/>
  <c r="K4" i="31"/>
  <c r="M4" i="31"/>
  <c r="O4" i="31"/>
  <c r="I4" i="31"/>
  <c r="L4" i="31"/>
  <c r="N4" i="31"/>
  <c r="H97" i="31"/>
  <c r="I97" i="31"/>
  <c r="J97" i="31"/>
  <c r="K97" i="31"/>
  <c r="L97" i="31"/>
  <c r="M97" i="31"/>
  <c r="N97" i="31"/>
  <c r="O97" i="31"/>
  <c r="G97" i="31"/>
  <c r="H15" i="31"/>
  <c r="I15" i="31"/>
  <c r="J15" i="31"/>
  <c r="K15" i="31"/>
  <c r="M15" i="31"/>
  <c r="N15" i="31"/>
  <c r="G15" i="31"/>
  <c r="L15" i="31"/>
  <c r="O15" i="31"/>
  <c r="I77" i="31"/>
  <c r="J77" i="31"/>
  <c r="G77" i="31"/>
  <c r="H77" i="31"/>
  <c r="K77" i="31"/>
  <c r="L77" i="31"/>
  <c r="M77" i="31"/>
  <c r="N77" i="31"/>
  <c r="O77" i="31"/>
  <c r="M92" i="31"/>
  <c r="I92" i="31"/>
  <c r="H92" i="31"/>
  <c r="G92" i="31"/>
  <c r="J92" i="31"/>
  <c r="K92" i="31"/>
  <c r="L92" i="31"/>
  <c r="N92" i="31"/>
  <c r="O92" i="31"/>
  <c r="L75" i="31"/>
  <c r="I75" i="31"/>
  <c r="J75" i="31"/>
  <c r="G75" i="31"/>
  <c r="H75" i="31"/>
  <c r="K75" i="31"/>
  <c r="M75" i="31"/>
  <c r="N75" i="31"/>
  <c r="O75" i="31"/>
  <c r="M74" i="31"/>
  <c r="J74" i="31"/>
  <c r="N74" i="31"/>
  <c r="O74" i="31"/>
  <c r="G74" i="31"/>
  <c r="H74" i="31"/>
  <c r="I74" i="31"/>
  <c r="K74" i="31"/>
  <c r="L74" i="31"/>
  <c r="L73" i="31"/>
  <c r="I73" i="31"/>
  <c r="J73" i="31"/>
  <c r="G73" i="31"/>
  <c r="H73" i="31"/>
  <c r="K73" i="31"/>
  <c r="M73" i="31"/>
  <c r="N73" i="31"/>
  <c r="O73" i="31"/>
  <c r="O56" i="31"/>
  <c r="G56" i="31"/>
  <c r="K56" i="31"/>
  <c r="M56" i="31"/>
  <c r="N56" i="31"/>
  <c r="H56" i="31"/>
  <c r="L56" i="31"/>
  <c r="I56" i="31"/>
  <c r="J56" i="31"/>
  <c r="G55" i="31"/>
  <c r="M55" i="31"/>
  <c r="N55" i="31"/>
  <c r="J55" i="31"/>
  <c r="K55" i="31"/>
  <c r="I55" i="31"/>
  <c r="L55" i="31"/>
  <c r="O55" i="31"/>
  <c r="H55" i="31"/>
  <c r="M86" i="31"/>
  <c r="G86" i="31"/>
  <c r="N86" i="31"/>
  <c r="O86" i="31"/>
  <c r="H86" i="31"/>
  <c r="I86" i="31"/>
  <c r="J86" i="31"/>
  <c r="K86" i="31"/>
  <c r="L86" i="31"/>
  <c r="L70" i="31"/>
  <c r="M70" i="31"/>
  <c r="J70" i="31"/>
  <c r="I70" i="31"/>
  <c r="K70" i="31"/>
  <c r="G70" i="31"/>
  <c r="H70" i="31"/>
  <c r="N70" i="31"/>
  <c r="O70" i="31"/>
  <c r="L101" i="31"/>
  <c r="G101" i="31"/>
  <c r="H101" i="31"/>
  <c r="I101" i="31"/>
  <c r="J101" i="31"/>
  <c r="K101" i="31"/>
  <c r="M101" i="31"/>
  <c r="N101" i="31"/>
  <c r="O101" i="31"/>
  <c r="M85" i="31"/>
  <c r="N85" i="31"/>
  <c r="G85" i="31"/>
  <c r="H85" i="31"/>
  <c r="I85" i="31"/>
  <c r="J85" i="31"/>
  <c r="K85" i="31"/>
  <c r="L85" i="31"/>
  <c r="O85" i="31"/>
  <c r="I37" i="31"/>
  <c r="J37" i="31"/>
  <c r="K37" i="31"/>
  <c r="M37" i="31"/>
  <c r="N37" i="31"/>
  <c r="O37" i="31"/>
  <c r="G37" i="31"/>
  <c r="H37" i="31"/>
  <c r="L37" i="31"/>
  <c r="I99" i="31"/>
  <c r="L99" i="31"/>
  <c r="M99" i="31"/>
  <c r="O99" i="31"/>
  <c r="N99" i="31"/>
  <c r="G99" i="31"/>
  <c r="H99" i="31"/>
  <c r="J99" i="31"/>
  <c r="K99" i="31"/>
  <c r="J83" i="31"/>
  <c r="K83" i="31"/>
  <c r="G83" i="31"/>
  <c r="H83" i="31"/>
  <c r="L83" i="31"/>
  <c r="M83" i="31"/>
  <c r="N83" i="31"/>
  <c r="O83" i="31"/>
  <c r="I83" i="31"/>
  <c r="L67" i="31"/>
  <c r="I67" i="31"/>
  <c r="J67" i="31"/>
  <c r="G67" i="31"/>
  <c r="H67" i="31"/>
  <c r="K67" i="31"/>
  <c r="M67" i="31"/>
  <c r="N67" i="31"/>
  <c r="O67" i="31"/>
  <c r="N51" i="31"/>
  <c r="K51" i="31"/>
  <c r="L51" i="31"/>
  <c r="O51" i="31"/>
  <c r="H51" i="31"/>
  <c r="I51" i="31"/>
  <c r="J51" i="31"/>
  <c r="G51" i="31"/>
  <c r="M51" i="31"/>
  <c r="J35" i="31"/>
  <c r="L35" i="31"/>
  <c r="M35" i="31"/>
  <c r="N35" i="31"/>
  <c r="G35" i="31"/>
  <c r="H35" i="31"/>
  <c r="I35" i="31"/>
  <c r="K35" i="31"/>
  <c r="O35" i="31"/>
  <c r="G19" i="31"/>
  <c r="H19" i="31"/>
  <c r="M19" i="31"/>
  <c r="N19" i="31"/>
  <c r="O19" i="31"/>
  <c r="J19" i="31"/>
  <c r="K19" i="31"/>
  <c r="L19" i="31"/>
  <c r="I19" i="31"/>
  <c r="G3" i="31"/>
  <c r="H3" i="31"/>
  <c r="I3" i="31"/>
  <c r="J3" i="31"/>
  <c r="K3" i="31"/>
  <c r="L3" i="31"/>
  <c r="M3" i="31"/>
  <c r="N3" i="31"/>
  <c r="O3" i="31"/>
  <c r="G43" i="4"/>
  <c r="J43" i="4"/>
  <c r="H43" i="4"/>
  <c r="I43" i="4"/>
  <c r="H38" i="4"/>
  <c r="J38" i="4"/>
  <c r="I38" i="4"/>
  <c r="G38" i="4"/>
  <c r="H54" i="4"/>
  <c r="G54" i="4"/>
  <c r="I54" i="4"/>
  <c r="J54" i="4"/>
  <c r="H48" i="4"/>
  <c r="I48" i="4"/>
  <c r="J48" i="4"/>
  <c r="G48" i="4"/>
  <c r="G55" i="4"/>
  <c r="I55" i="4"/>
  <c r="H55" i="4"/>
  <c r="J55" i="4"/>
  <c r="H53" i="4"/>
  <c r="I53" i="4"/>
  <c r="J53" i="4"/>
  <c r="G53" i="4"/>
  <c r="J40" i="4"/>
  <c r="I40" i="4"/>
  <c r="G40" i="4"/>
  <c r="H40" i="4"/>
  <c r="H49" i="4"/>
  <c r="I49" i="4"/>
  <c r="J49" i="4"/>
  <c r="G49" i="4"/>
  <c r="I41" i="4"/>
  <c r="H41" i="4"/>
  <c r="J41" i="4"/>
  <c r="G41" i="4"/>
  <c r="G37" i="4"/>
  <c r="I37" i="4"/>
  <c r="H37" i="4"/>
  <c r="J37" i="4"/>
  <c r="I52" i="4"/>
  <c r="G52" i="4"/>
  <c r="H52" i="4"/>
  <c r="J52" i="4"/>
  <c r="H44" i="4"/>
  <c r="I44" i="4"/>
  <c r="J44" i="4"/>
  <c r="G44" i="4"/>
  <c r="G46" i="4"/>
  <c r="H46" i="4"/>
  <c r="I46" i="4"/>
  <c r="J46" i="4"/>
  <c r="J50" i="4"/>
  <c r="I50" i="4"/>
  <c r="H50" i="4"/>
  <c r="G50" i="4"/>
  <c r="I42" i="4"/>
  <c r="G42" i="4"/>
  <c r="J42" i="4"/>
  <c r="H42" i="4"/>
  <c r="H39" i="4"/>
  <c r="I39" i="4"/>
  <c r="J39" i="4"/>
  <c r="G39" i="4"/>
  <c r="G51" i="4"/>
  <c r="J51" i="4"/>
  <c r="H51" i="4"/>
  <c r="I51" i="4"/>
  <c r="G45" i="4"/>
  <c r="H45" i="4"/>
  <c r="I45" i="4"/>
  <c r="J45" i="4"/>
  <c r="G35" i="4"/>
  <c r="I35" i="4"/>
  <c r="H35" i="4"/>
  <c r="J35" i="4"/>
  <c r="G36" i="4"/>
  <c r="I36" i="4"/>
  <c r="H36" i="4"/>
  <c r="J36" i="4"/>
  <c r="I47" i="4"/>
  <c r="H47" i="4"/>
  <c r="G47" i="4"/>
  <c r="J47" i="4"/>
  <c r="AA3" i="31" l="1" a="1"/>
  <c r="M102" i="31"/>
  <c r="G102" i="31"/>
  <c r="I102" i="31"/>
  <c r="H102" i="31"/>
  <c r="J102" i="31"/>
  <c r="K102" i="31"/>
  <c r="L102" i="31"/>
  <c r="N102" i="31"/>
  <c r="O102" i="3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R20" i="3"/>
  <c r="L21" i="3"/>
  <c r="M21" i="3"/>
  <c r="L22" i="3"/>
  <c r="M22" i="3"/>
  <c r="L23" i="3"/>
  <c r="M23" i="3"/>
  <c r="L24" i="3"/>
  <c r="M24" i="3"/>
  <c r="L25" i="3"/>
  <c r="M25" i="3"/>
  <c r="R25" i="3"/>
  <c r="L26" i="3"/>
  <c r="M26" i="3"/>
  <c r="R26" i="3"/>
  <c r="AG3" i="31" l="1"/>
  <c r="AG4" i="31"/>
  <c r="AH5" i="31"/>
  <c r="AI6" i="31"/>
  <c r="AJ7" i="31"/>
  <c r="AH3" i="31"/>
  <c r="AH4" i="31"/>
  <c r="AI5" i="31"/>
  <c r="AJ6" i="31"/>
  <c r="AJ3" i="31"/>
  <c r="AJ4" i="31"/>
  <c r="AA11" i="31"/>
  <c r="AB12" i="31"/>
  <c r="AA9" i="31"/>
  <c r="AB10" i="31"/>
  <c r="AC11" i="31"/>
  <c r="AD12" i="31"/>
  <c r="AA8" i="31"/>
  <c r="AB9" i="31"/>
  <c r="AC10" i="31"/>
  <c r="AD11" i="31"/>
  <c r="AE12" i="31"/>
  <c r="AA7" i="31"/>
  <c r="AB8" i="31"/>
  <c r="AC9" i="31"/>
  <c r="AD10" i="31"/>
  <c r="AE11" i="31"/>
  <c r="AF12" i="31"/>
  <c r="AA6" i="31"/>
  <c r="AB7" i="31"/>
  <c r="AC8" i="31"/>
  <c r="AD9" i="31"/>
  <c r="AE10" i="31"/>
  <c r="AF11" i="31"/>
  <c r="AG12" i="31"/>
  <c r="AA3" i="31"/>
  <c r="AA4" i="31"/>
  <c r="AB5" i="31"/>
  <c r="AC6" i="31"/>
  <c r="AD7" i="31"/>
  <c r="AE8" i="31"/>
  <c r="AF9" i="31"/>
  <c r="AG10" i="31"/>
  <c r="AH11" i="31"/>
  <c r="AI12" i="31"/>
  <c r="AB3" i="31"/>
  <c r="AB4" i="31"/>
  <c r="AC5" i="31"/>
  <c r="AD6" i="31"/>
  <c r="AE7" i="31"/>
  <c r="AF8" i="31"/>
  <c r="AG9" i="31"/>
  <c r="AH10" i="31"/>
  <c r="AI11" i="31"/>
  <c r="AJ12" i="31"/>
  <c r="AC3" i="31"/>
  <c r="AD3" i="31"/>
  <c r="AD4" i="31"/>
  <c r="AE5" i="31"/>
  <c r="AF6" i="31"/>
  <c r="AG7" i="31"/>
  <c r="AH8" i="31"/>
  <c r="AI9" i="31"/>
  <c r="AJ10" i="31"/>
  <c r="AF3" i="31"/>
  <c r="AF4" i="31"/>
  <c r="AG5" i="31"/>
  <c r="AH6" i="31"/>
  <c r="AI7" i="31"/>
  <c r="AJ8" i="31"/>
  <c r="AC4" i="31"/>
  <c r="AD5" i="31"/>
  <c r="AG6" i="31"/>
  <c r="AI4" i="31"/>
  <c r="AJ5" i="31"/>
  <c r="AE3" i="31"/>
  <c r="AI3" i="31"/>
  <c r="AA10" i="31"/>
  <c r="AB11" i="31"/>
  <c r="AF10" i="31"/>
  <c r="AG11" i="31"/>
  <c r="AA12" i="31"/>
  <c r="AE9" i="31"/>
  <c r="AI10" i="31"/>
  <c r="AJ11" i="31"/>
  <c r="AC12" i="31"/>
  <c r="AD8" i="31"/>
  <c r="AH9" i="31"/>
  <c r="AH12" i="31"/>
  <c r="AC7" i="31"/>
  <c r="AG8" i="31"/>
  <c r="AJ9" i="31"/>
  <c r="AB6" i="31"/>
  <c r="AF7" i="31"/>
  <c r="AI8" i="31"/>
  <c r="AE4" i="31"/>
  <c r="AA5" i="31"/>
  <c r="AF5" i="31"/>
  <c r="AE6" i="31"/>
  <c r="AH7" i="31"/>
  <c r="N26" i="3"/>
  <c r="N7" i="3"/>
  <c r="N21" i="3"/>
  <c r="N24" i="3"/>
  <c r="H19" i="3"/>
  <c r="H20" i="3" s="1"/>
  <c r="H21" i="3" s="1"/>
  <c r="H22" i="3" s="1"/>
  <c r="N15" i="3"/>
  <c r="H3" i="3"/>
  <c r="H4" i="3" s="1"/>
  <c r="H5" i="3" s="1"/>
  <c r="H6" i="3" s="1"/>
  <c r="N4" i="3"/>
  <c r="H11" i="3"/>
  <c r="H12" i="3" s="1"/>
  <c r="H13" i="3" s="1"/>
  <c r="H14" i="3" s="1"/>
  <c r="N20" i="3"/>
  <c r="N6" i="3"/>
  <c r="N10" i="3"/>
  <c r="N5" i="3"/>
  <c r="H15" i="3"/>
  <c r="H16" i="3" s="1"/>
  <c r="H17" i="3" s="1"/>
  <c r="H18" i="3" s="1"/>
  <c r="N9" i="3"/>
  <c r="H23" i="3"/>
  <c r="H24" i="3" s="1"/>
  <c r="H25" i="3" s="1"/>
  <c r="H26" i="3" s="1"/>
  <c r="N19" i="3"/>
  <c r="N14" i="3"/>
  <c r="N11" i="3"/>
  <c r="N16" i="3"/>
  <c r="N8" i="3"/>
  <c r="N3" i="3"/>
  <c r="N18" i="3"/>
  <c r="N25" i="3"/>
  <c r="N23" i="3"/>
  <c r="N13" i="3"/>
  <c r="N17" i="3"/>
  <c r="H7" i="3"/>
  <c r="H8" i="3" s="1"/>
  <c r="H9" i="3" s="1"/>
  <c r="H10" i="3" s="1"/>
  <c r="N22" i="3"/>
  <c r="N12" i="3"/>
  <c r="AA14" i="31" a="1"/>
  <c r="AF15" i="31" l="1"/>
  <c r="AF18" i="31"/>
  <c r="AD14" i="31"/>
  <c r="AI20" i="31"/>
  <c r="AH22" i="31"/>
  <c r="AB21" i="31"/>
  <c r="AB15" i="31"/>
  <c r="AB17" i="31"/>
  <c r="AA17" i="31"/>
  <c r="AJ15" i="31"/>
  <c r="AE22" i="31"/>
  <c r="AA18" i="31"/>
  <c r="AC15" i="31"/>
  <c r="AH18" i="31"/>
  <c r="AB14" i="31"/>
  <c r="AF17" i="31"/>
  <c r="AF19" i="31"/>
  <c r="AI22" i="31"/>
  <c r="AC21" i="31"/>
  <c r="AH21" i="31"/>
  <c r="AB22" i="31"/>
  <c r="AJ16" i="31"/>
  <c r="AB20" i="31"/>
  <c r="AE23" i="31"/>
  <c r="AG14" i="31"/>
  <c r="AB16" i="31"/>
  <c r="AG23" i="31"/>
  <c r="AA21" i="31"/>
  <c r="AA15" i="31"/>
  <c r="AE16" i="31"/>
  <c r="AA20" i="31"/>
  <c r="AH16" i="31"/>
  <c r="AC14" i="31"/>
  <c r="AD16" i="31"/>
  <c r="AC16" i="31"/>
  <c r="AE14" i="31"/>
  <c r="AG20" i="31"/>
  <c r="AC22" i="31"/>
  <c r="AC19" i="31"/>
  <c r="AD20" i="31"/>
  <c r="AH15" i="31"/>
  <c r="AB19" i="31"/>
  <c r="AJ14" i="31"/>
  <c r="AF16" i="31"/>
  <c r="AH19" i="31"/>
  <c r="AE15" i="31"/>
  <c r="AF23" i="31"/>
  <c r="AD22" i="31"/>
  <c r="AI19" i="31"/>
  <c r="AD18" i="31"/>
  <c r="AA14" i="31"/>
  <c r="AJ23" i="31"/>
  <c r="AJ19" i="31"/>
  <c r="AB23" i="31"/>
  <c r="AG15" i="31"/>
  <c r="AE21" i="31"/>
  <c r="AC23" i="31"/>
  <c r="AH23" i="31"/>
  <c r="AC20" i="31"/>
  <c r="AG21" i="31"/>
  <c r="AD15" i="31"/>
  <c r="AG18" i="31"/>
  <c r="AJ17" i="31"/>
  <c r="AI17" i="31"/>
  <c r="AE19" i="31"/>
  <c r="AJ20" i="31"/>
  <c r="AI16" i="31"/>
  <c r="AG22" i="31"/>
  <c r="AJ21" i="31"/>
  <c r="AD17" i="31"/>
  <c r="AH20" i="31"/>
  <c r="AD21" i="31"/>
  <c r="AJ22" i="31"/>
  <c r="AC18" i="31"/>
  <c r="AJ18" i="31"/>
  <c r="AG16" i="31"/>
  <c r="AI15" i="31"/>
  <c r="AA19" i="31"/>
  <c r="AF21" i="31"/>
  <c r="AE18" i="31"/>
  <c r="AI18" i="31"/>
  <c r="AA22" i="31"/>
  <c r="AA23" i="31"/>
  <c r="AF20" i="31"/>
  <c r="AC17" i="31"/>
  <c r="AD23" i="31"/>
  <c r="AI21" i="31"/>
  <c r="AH14" i="31"/>
  <c r="AF14" i="31"/>
  <c r="AE17" i="31"/>
  <c r="AH17" i="31"/>
  <c r="AD19" i="31"/>
  <c r="AB18" i="31"/>
  <c r="AE20" i="31"/>
  <c r="AI14" i="31"/>
  <c r="AA16" i="31"/>
  <c r="AG19" i="31"/>
  <c r="AG17" i="31"/>
  <c r="AI23" i="31"/>
  <c r="AF22" i="31"/>
  <c r="U3" i="3" a="1"/>
  <c r="O3" i="3" a="1"/>
  <c r="P3" i="31" l="1" a="1"/>
  <c r="U32" i="31" s="1"/>
  <c r="Q4" i="3"/>
  <c r="R7" i="3"/>
  <c r="R4" i="3"/>
  <c r="S7" i="3"/>
  <c r="S4" i="3"/>
  <c r="T7" i="3"/>
  <c r="O8" i="3"/>
  <c r="T4" i="3"/>
  <c r="O5" i="3"/>
  <c r="P8" i="3"/>
  <c r="P5" i="3"/>
  <c r="Q8" i="3"/>
  <c r="Q5" i="3"/>
  <c r="R8" i="3"/>
  <c r="P7" i="3"/>
  <c r="R5" i="3"/>
  <c r="S8" i="3"/>
  <c r="S5" i="3"/>
  <c r="T8" i="3"/>
  <c r="P4" i="3"/>
  <c r="O3" i="3"/>
  <c r="T5" i="3"/>
  <c r="O6" i="3"/>
  <c r="P3" i="3"/>
  <c r="P6" i="3"/>
  <c r="Q3" i="3"/>
  <c r="Q6" i="3"/>
  <c r="R3" i="3"/>
  <c r="R6" i="3"/>
  <c r="Q7" i="3"/>
  <c r="S3" i="3"/>
  <c r="S6" i="3"/>
  <c r="T3" i="3"/>
  <c r="T6" i="3"/>
  <c r="O7" i="3"/>
  <c r="O4" i="3"/>
  <c r="U7" i="3"/>
  <c r="U6" i="3"/>
  <c r="U4" i="3"/>
  <c r="U8" i="3"/>
  <c r="U5" i="3"/>
  <c r="U3" i="3"/>
  <c r="P52" i="31" l="1"/>
  <c r="P9" i="31"/>
  <c r="X46" i="31"/>
  <c r="W79" i="31"/>
  <c r="T91" i="31"/>
  <c r="Y70" i="31"/>
  <c r="P42" i="31"/>
  <c r="X94" i="31"/>
  <c r="W86" i="31"/>
  <c r="V35" i="31"/>
  <c r="V5" i="31"/>
  <c r="Y72" i="31"/>
  <c r="S47" i="31"/>
  <c r="X28" i="31"/>
  <c r="S61" i="31"/>
  <c r="Y88" i="31"/>
  <c r="T68" i="31"/>
  <c r="Q38" i="31"/>
  <c r="X85" i="31"/>
  <c r="W89" i="31"/>
  <c r="T55" i="31"/>
  <c r="P8" i="31"/>
  <c r="X83" i="31"/>
  <c r="P71" i="31"/>
  <c r="W48" i="31"/>
  <c r="P19" i="31"/>
  <c r="T96" i="31"/>
  <c r="R88" i="31"/>
  <c r="Q22" i="31"/>
  <c r="R25" i="31"/>
  <c r="T81" i="31"/>
  <c r="X82" i="31"/>
  <c r="X30" i="31"/>
  <c r="V11" i="31"/>
  <c r="P92" i="31"/>
  <c r="V54" i="31"/>
  <c r="R44" i="31"/>
  <c r="R11" i="31"/>
  <c r="P67" i="31"/>
  <c r="W96" i="31"/>
  <c r="T21" i="31"/>
  <c r="P13" i="31"/>
  <c r="W99" i="31"/>
  <c r="R64" i="31"/>
  <c r="V20" i="31"/>
  <c r="V4" i="31"/>
  <c r="T100" i="31"/>
  <c r="Q64" i="31"/>
  <c r="S16" i="31"/>
  <c r="V7" i="31"/>
  <c r="U90" i="31"/>
  <c r="R75" i="31"/>
  <c r="X24" i="31"/>
  <c r="T14" i="31"/>
  <c r="S90" i="31"/>
  <c r="W47" i="31"/>
  <c r="S20" i="31"/>
  <c r="Y21" i="31"/>
  <c r="Q58" i="31"/>
  <c r="Q53" i="31"/>
  <c r="S35" i="31"/>
  <c r="P4" i="31"/>
  <c r="U98" i="31"/>
  <c r="P29" i="31"/>
  <c r="V43" i="31"/>
  <c r="P89" i="31"/>
  <c r="T71" i="31"/>
  <c r="X38" i="31"/>
  <c r="U12" i="31"/>
  <c r="P37" i="31"/>
  <c r="X84" i="31"/>
  <c r="R83" i="31"/>
  <c r="R82" i="31"/>
  <c r="T66" i="31"/>
  <c r="R80" i="31"/>
  <c r="Q96" i="31"/>
  <c r="W93" i="31"/>
  <c r="X98" i="31"/>
  <c r="T47" i="31"/>
  <c r="U45" i="31"/>
  <c r="U31" i="31"/>
  <c r="R90" i="31"/>
  <c r="T70" i="31"/>
  <c r="U39" i="31"/>
  <c r="U86" i="31"/>
  <c r="P54" i="31"/>
  <c r="X31" i="31"/>
  <c r="S9" i="31"/>
  <c r="W85" i="31"/>
  <c r="X73" i="31"/>
  <c r="S46" i="31"/>
  <c r="T12" i="31"/>
  <c r="W80" i="31"/>
  <c r="W60" i="31"/>
  <c r="Y40" i="31"/>
  <c r="W33" i="31"/>
  <c r="R74" i="31"/>
  <c r="Y87" i="31"/>
  <c r="U71" i="31"/>
  <c r="X42" i="31"/>
  <c r="W95" i="31"/>
  <c r="T48" i="31"/>
  <c r="P45" i="31"/>
  <c r="S12" i="31"/>
  <c r="W68" i="31"/>
  <c r="P97" i="31"/>
  <c r="Q26" i="31"/>
  <c r="Y3" i="31"/>
  <c r="R100" i="31"/>
  <c r="W70" i="31"/>
  <c r="S21" i="31"/>
  <c r="W5" i="31"/>
  <c r="S64" i="31"/>
  <c r="Y69" i="31"/>
  <c r="X17" i="31"/>
  <c r="W8" i="31"/>
  <c r="P91" i="31"/>
  <c r="R77" i="31"/>
  <c r="V29" i="31"/>
  <c r="T15" i="31"/>
  <c r="Y93" i="31"/>
  <c r="P48" i="31"/>
  <c r="W24" i="31"/>
  <c r="W25" i="31"/>
  <c r="V60" i="31"/>
  <c r="T27" i="31"/>
  <c r="V36" i="31"/>
  <c r="Q5" i="31"/>
  <c r="R60" i="31"/>
  <c r="P35" i="31"/>
  <c r="R8" i="31"/>
  <c r="V92" i="31"/>
  <c r="U72" i="31"/>
  <c r="V41" i="31"/>
  <c r="R13" i="31"/>
  <c r="X63" i="31"/>
  <c r="T93" i="31"/>
  <c r="W21" i="31"/>
  <c r="W23" i="31"/>
  <c r="Y41" i="31"/>
  <c r="P61" i="31"/>
  <c r="W71" i="31"/>
  <c r="U11" i="31"/>
  <c r="U10" i="31"/>
  <c r="R73" i="31"/>
  <c r="Y86" i="31"/>
  <c r="Y50" i="31"/>
  <c r="X22" i="31"/>
  <c r="U82" i="31"/>
  <c r="Q83" i="31"/>
  <c r="R40" i="31"/>
  <c r="W12" i="31"/>
  <c r="P74" i="31"/>
  <c r="S99" i="31"/>
  <c r="Q27" i="31"/>
  <c r="X4" i="31"/>
  <c r="P56" i="31"/>
  <c r="S71" i="31"/>
  <c r="P26" i="31"/>
  <c r="X6" i="31"/>
  <c r="U68" i="31"/>
  <c r="V70" i="31"/>
  <c r="Y18" i="31"/>
  <c r="X9" i="31"/>
  <c r="V94" i="31"/>
  <c r="R79" i="31"/>
  <c r="Y32" i="31"/>
  <c r="U16" i="31"/>
  <c r="U94" i="31"/>
  <c r="Y49" i="31"/>
  <c r="Y28" i="31"/>
  <c r="R26" i="31"/>
  <c r="S62" i="31"/>
  <c r="Q39" i="31"/>
  <c r="R38" i="31"/>
  <c r="R6" i="31"/>
  <c r="P65" i="31"/>
  <c r="W36" i="31"/>
  <c r="W9" i="31"/>
  <c r="R93" i="31"/>
  <c r="W87" i="31"/>
  <c r="U46" i="31"/>
  <c r="R17" i="31"/>
  <c r="S66" i="31"/>
  <c r="Y66" i="31"/>
  <c r="Q31" i="31"/>
  <c r="S24" i="31"/>
  <c r="U92" i="31"/>
  <c r="Y85" i="31"/>
  <c r="U57" i="31"/>
  <c r="T28" i="31"/>
  <c r="X62" i="31"/>
  <c r="X40" i="31"/>
  <c r="Q81" i="31"/>
  <c r="Q86" i="31"/>
  <c r="U69" i="31"/>
  <c r="Q10" i="31"/>
  <c r="S63" i="31"/>
  <c r="P21" i="31"/>
  <c r="W17" i="31"/>
  <c r="Q17" i="31"/>
  <c r="V46" i="31"/>
  <c r="R32" i="31"/>
  <c r="P49" i="31"/>
  <c r="R18" i="31"/>
  <c r="T86" i="31"/>
  <c r="W73" i="31"/>
  <c r="Q51" i="31"/>
  <c r="U23" i="31"/>
  <c r="Y81" i="31"/>
  <c r="V61" i="31"/>
  <c r="V42" i="31"/>
  <c r="P36" i="31"/>
  <c r="S75" i="31"/>
  <c r="U52" i="31"/>
  <c r="U73" i="31"/>
  <c r="T44" i="31"/>
  <c r="R96" i="31"/>
  <c r="S52" i="31"/>
  <c r="Y47" i="31"/>
  <c r="T13" i="31"/>
  <c r="U64" i="31"/>
  <c r="Y74" i="31"/>
  <c r="P27" i="31"/>
  <c r="Y7" i="31"/>
  <c r="X69" i="31"/>
  <c r="Q71" i="31"/>
  <c r="U20" i="31"/>
  <c r="Y10" i="31"/>
  <c r="Y58" i="31"/>
  <c r="R81" i="31"/>
  <c r="R34" i="31"/>
  <c r="V17" i="31"/>
  <c r="P95" i="31"/>
  <c r="Q50" i="31"/>
  <c r="U29" i="31"/>
  <c r="X27" i="31"/>
  <c r="S65" i="31"/>
  <c r="R39" i="31"/>
  <c r="V39" i="31"/>
  <c r="S7" i="31"/>
  <c r="R70" i="31"/>
  <c r="T35" i="31"/>
  <c r="V12" i="31"/>
  <c r="X96" i="31"/>
  <c r="Y92" i="31"/>
  <c r="S49" i="31"/>
  <c r="S18" i="31"/>
  <c r="R72" i="31"/>
  <c r="X72" i="31"/>
  <c r="R36" i="31"/>
  <c r="Y25" i="31"/>
  <c r="X100" i="31"/>
  <c r="V86" i="31"/>
  <c r="Y59" i="31"/>
  <c r="W31" i="31"/>
  <c r="S85" i="31"/>
  <c r="W50" i="31"/>
  <c r="Q46" i="31"/>
  <c r="W22" i="31"/>
  <c r="R63" i="31"/>
  <c r="P70" i="31"/>
  <c r="S80" i="31"/>
  <c r="T16" i="31"/>
  <c r="V85" i="31"/>
  <c r="V63" i="31"/>
  <c r="P44" i="31"/>
  <c r="U8" i="31"/>
  <c r="X48" i="31"/>
  <c r="V100" i="31"/>
  <c r="S69" i="31"/>
  <c r="V88" i="31"/>
  <c r="X88" i="31"/>
  <c r="V49" i="31"/>
  <c r="S29" i="31"/>
  <c r="T87" i="31"/>
  <c r="W74" i="31"/>
  <c r="Y54" i="31"/>
  <c r="P24" i="31"/>
  <c r="W82" i="31"/>
  <c r="R62" i="31"/>
  <c r="U43" i="31"/>
  <c r="U37" i="31"/>
  <c r="Q101" i="31"/>
  <c r="P51" i="31"/>
  <c r="R42" i="31"/>
  <c r="U27" i="31"/>
  <c r="T83" i="31"/>
  <c r="T85" i="31"/>
  <c r="R43" i="31"/>
  <c r="P15" i="31"/>
  <c r="P75" i="31"/>
  <c r="W101" i="31"/>
  <c r="Y29" i="31"/>
  <c r="Y5" i="31"/>
  <c r="P78" i="31"/>
  <c r="X74" i="31"/>
  <c r="R21" i="31"/>
  <c r="V14" i="31"/>
  <c r="P64" i="31"/>
  <c r="X34" i="31"/>
  <c r="U35" i="31"/>
  <c r="W18" i="31"/>
  <c r="V98" i="31"/>
  <c r="W52" i="31"/>
  <c r="V32" i="31"/>
  <c r="Q30" i="31"/>
  <c r="Q69" i="31"/>
  <c r="U47" i="31"/>
  <c r="Q40" i="31"/>
  <c r="T8" i="31"/>
  <c r="V71" i="31"/>
  <c r="X41" i="31"/>
  <c r="U13" i="31"/>
  <c r="S97" i="31"/>
  <c r="P94" i="31"/>
  <c r="T51" i="31"/>
  <c r="T19" i="31"/>
  <c r="V73" i="31"/>
  <c r="W88" i="31"/>
  <c r="W37" i="31"/>
  <c r="V28" i="31"/>
  <c r="W63" i="31"/>
  <c r="V87" i="31"/>
  <c r="Q15" i="31"/>
  <c r="Q32" i="31"/>
  <c r="S86" i="31"/>
  <c r="S56" i="31"/>
  <c r="V48" i="31"/>
  <c r="T23" i="31"/>
  <c r="P63" i="31"/>
  <c r="V51" i="31"/>
  <c r="T22" i="31"/>
  <c r="V33" i="31"/>
  <c r="S15" i="31"/>
  <c r="T9" i="31"/>
  <c r="X26" i="31"/>
  <c r="U36" i="31"/>
  <c r="S41" i="31"/>
  <c r="V64" i="31"/>
  <c r="U14" i="31"/>
  <c r="X89" i="31"/>
  <c r="X66" i="31"/>
  <c r="W84" i="31"/>
  <c r="W26" i="31"/>
  <c r="Q16" i="31"/>
  <c r="X93" i="31"/>
  <c r="T72" i="31"/>
  <c r="P40" i="31"/>
  <c r="V96" i="31"/>
  <c r="U50" i="31"/>
  <c r="W44" i="31"/>
  <c r="P11" i="31"/>
  <c r="R97" i="31"/>
  <c r="X52" i="31"/>
  <c r="S43" i="31"/>
  <c r="P28" i="31"/>
  <c r="T76" i="31"/>
  <c r="Y53" i="31"/>
  <c r="U75" i="31"/>
  <c r="P46" i="31"/>
  <c r="X99" i="31"/>
  <c r="V53" i="31"/>
  <c r="R48" i="31"/>
  <c r="P17" i="31"/>
  <c r="V68" i="31"/>
  <c r="V75" i="31"/>
  <c r="X29" i="31"/>
  <c r="Y14" i="31"/>
  <c r="S68" i="31"/>
  <c r="W39" i="31"/>
  <c r="X36" i="31"/>
  <c r="X19" i="31"/>
  <c r="Q99" i="31"/>
  <c r="U53" i="31"/>
  <c r="Q34" i="31"/>
  <c r="T31" i="31"/>
  <c r="U70" i="31"/>
  <c r="X49" i="31"/>
  <c r="Q42" i="31"/>
  <c r="U9" i="31"/>
  <c r="S98" i="31"/>
  <c r="W46" i="31"/>
  <c r="P14" i="31"/>
  <c r="Y100" i="31"/>
  <c r="V97" i="31"/>
  <c r="Q52" i="31"/>
  <c r="Q20" i="31"/>
  <c r="V74" i="31"/>
  <c r="S89" i="31"/>
  <c r="U38" i="31"/>
  <c r="Q29" i="31"/>
  <c r="Q66" i="31"/>
  <c r="U88" i="31"/>
  <c r="U21" i="31"/>
  <c r="Y33" i="31"/>
  <c r="R87" i="31"/>
  <c r="X57" i="31"/>
  <c r="T26" i="31"/>
  <c r="T25" i="31"/>
  <c r="P66" i="31"/>
  <c r="R57" i="31"/>
  <c r="U28" i="31"/>
  <c r="Y34" i="31"/>
  <c r="V80" i="31"/>
  <c r="Q60" i="31"/>
  <c r="U83" i="31"/>
  <c r="Y52" i="31"/>
  <c r="V13" i="31"/>
  <c r="Y39" i="31"/>
  <c r="V24" i="31"/>
  <c r="Y22" i="31"/>
  <c r="R53" i="31"/>
  <c r="U6" i="31"/>
  <c r="Y12" i="31"/>
  <c r="Q93" i="31"/>
  <c r="S72" i="31"/>
  <c r="T40" i="31"/>
  <c r="U17" i="31"/>
  <c r="T88" i="31"/>
  <c r="Q70" i="31"/>
  <c r="X37" i="31"/>
  <c r="Y11" i="31"/>
  <c r="S87" i="31"/>
  <c r="Y46" i="31"/>
  <c r="U44" i="31"/>
  <c r="Y30" i="31"/>
  <c r="V77" i="31"/>
  <c r="X54" i="31"/>
  <c r="U77" i="31"/>
  <c r="V47" i="31"/>
  <c r="R84" i="31"/>
  <c r="X87" i="31"/>
  <c r="S44" i="31"/>
  <c r="Y16" i="31"/>
  <c r="R76" i="31"/>
  <c r="P102" i="31"/>
  <c r="T30" i="31"/>
  <c r="P12" i="31"/>
  <c r="P80" i="31"/>
  <c r="T75" i="31"/>
  <c r="Y24" i="31"/>
  <c r="V15" i="31"/>
  <c r="X102" i="31"/>
  <c r="R54" i="31"/>
  <c r="P6" i="31"/>
  <c r="W32" i="31"/>
  <c r="X71" i="31"/>
  <c r="P50" i="31"/>
  <c r="W43" i="31"/>
  <c r="V10" i="31"/>
  <c r="T102" i="31"/>
  <c r="R47" i="31"/>
  <c r="P16" i="31"/>
  <c r="T101" i="31"/>
  <c r="R98" i="31"/>
  <c r="U55" i="31"/>
  <c r="X23" i="31"/>
  <c r="Y75" i="31"/>
  <c r="P90" i="31"/>
  <c r="U41" i="31"/>
  <c r="Y31" i="31"/>
  <c r="Y67" i="31"/>
  <c r="Q89" i="31"/>
  <c r="V26" i="31"/>
  <c r="R10" i="31"/>
  <c r="P88" i="31"/>
  <c r="Y60" i="31"/>
  <c r="S33" i="31"/>
  <c r="W27" i="31"/>
  <c r="X67" i="31"/>
  <c r="T58" i="31"/>
  <c r="W40" i="31"/>
  <c r="T37" i="31"/>
  <c r="V81" i="31"/>
  <c r="Y65" i="31"/>
  <c r="U85" i="31"/>
  <c r="T53" i="31"/>
  <c r="R92" i="31"/>
  <c r="P93" i="31"/>
  <c r="X53" i="31"/>
  <c r="U26" i="31"/>
  <c r="T80" i="31"/>
  <c r="U102" i="31"/>
  <c r="Y90" i="31"/>
  <c r="Y97" i="31"/>
  <c r="U80" i="31"/>
  <c r="Y17" i="31"/>
  <c r="V19" i="31"/>
  <c r="S36" i="31"/>
  <c r="S57" i="31"/>
  <c r="R89" i="31"/>
  <c r="R51" i="31"/>
  <c r="S19" i="31"/>
  <c r="W83" i="31"/>
  <c r="P58" i="31"/>
  <c r="U79" i="31"/>
  <c r="R49" i="31"/>
  <c r="Q85" i="31"/>
  <c r="Q88" i="31"/>
  <c r="Q45" i="31"/>
  <c r="V21" i="31"/>
  <c r="X51" i="31"/>
  <c r="W54" i="31"/>
  <c r="S50" i="31"/>
  <c r="Q18" i="31"/>
  <c r="Q76" i="31"/>
  <c r="P76" i="31"/>
  <c r="S30" i="31"/>
  <c r="Y15" i="31"/>
  <c r="W69" i="31"/>
  <c r="P43" i="31"/>
  <c r="T38" i="31"/>
  <c r="Y20" i="31"/>
  <c r="P99" i="31"/>
  <c r="Y51" i="31"/>
  <c r="S45" i="31"/>
  <c r="W11" i="31"/>
  <c r="S60" i="31"/>
  <c r="Q24" i="31"/>
  <c r="S17" i="31"/>
  <c r="Q102" i="31"/>
  <c r="X101" i="31"/>
  <c r="Y57" i="31"/>
  <c r="U24" i="31"/>
  <c r="Y76" i="31"/>
  <c r="V93" i="31"/>
  <c r="Y45" i="31"/>
  <c r="S32" i="31"/>
  <c r="Q72" i="31"/>
  <c r="X92" i="31"/>
  <c r="U33" i="31"/>
  <c r="T11" i="31"/>
  <c r="Y91" i="31"/>
  <c r="X61" i="31"/>
  <c r="Q37" i="31"/>
  <c r="S28" i="31"/>
  <c r="P72" i="31"/>
  <c r="V59" i="31"/>
  <c r="T42" i="31"/>
  <c r="U15" i="31"/>
  <c r="V82" i="31"/>
  <c r="V66" i="31"/>
  <c r="U87" i="31"/>
  <c r="W55" i="31"/>
  <c r="X95" i="31"/>
  <c r="S95" i="31"/>
  <c r="U54" i="31"/>
  <c r="S27" i="31"/>
  <c r="V67" i="31"/>
  <c r="U66" i="31"/>
  <c r="P57" i="31"/>
  <c r="R9" i="31"/>
  <c r="Y102" i="31"/>
  <c r="X79" i="31"/>
  <c r="R102" i="31"/>
  <c r="Q43" i="31"/>
  <c r="X20" i="31"/>
  <c r="S101" i="31"/>
  <c r="R59" i="31"/>
  <c r="S77" i="31"/>
  <c r="R33" i="31"/>
  <c r="Q13" i="31"/>
  <c r="P81" i="31"/>
  <c r="U78" i="31"/>
  <c r="W29" i="31"/>
  <c r="U3" i="31"/>
  <c r="Y89" i="31"/>
  <c r="U56" i="31"/>
  <c r="U7" i="31"/>
  <c r="R3" i="31"/>
  <c r="Q62" i="31"/>
  <c r="R27" i="31"/>
  <c r="T18" i="31"/>
  <c r="W102" i="31"/>
  <c r="S102" i="31"/>
  <c r="R58" i="31"/>
  <c r="W28" i="31"/>
  <c r="Y77" i="31"/>
  <c r="Y101" i="31"/>
  <c r="T46" i="31"/>
  <c r="Q35" i="31"/>
  <c r="T73" i="31"/>
  <c r="S93" i="31"/>
  <c r="S37" i="31"/>
  <c r="Q12" i="31"/>
  <c r="T92" i="31"/>
  <c r="U62" i="31"/>
  <c r="R41" i="31"/>
  <c r="V31" i="31"/>
  <c r="P73" i="31"/>
  <c r="U60" i="31"/>
  <c r="T43" i="31"/>
  <c r="V22" i="31"/>
  <c r="V83" i="31"/>
  <c r="S67" i="31"/>
  <c r="U89" i="31"/>
  <c r="W57" i="31"/>
  <c r="S96" i="31"/>
  <c r="W97" i="31"/>
  <c r="X56" i="31"/>
  <c r="V30" i="31"/>
  <c r="X68" i="31"/>
  <c r="Q67" i="31"/>
  <c r="S59" i="31"/>
  <c r="S10" i="31"/>
  <c r="S81" i="31"/>
  <c r="P53" i="31"/>
  <c r="W38" i="31"/>
  <c r="S23" i="31"/>
  <c r="T56" i="31"/>
  <c r="P23" i="31"/>
  <c r="W58" i="31"/>
  <c r="S31" i="31"/>
  <c r="W20" i="31"/>
  <c r="P34" i="31"/>
  <c r="Y84" i="31"/>
  <c r="S22" i="31"/>
  <c r="U49" i="31"/>
  <c r="V84" i="31"/>
  <c r="P47" i="31"/>
  <c r="V45" i="31"/>
  <c r="W15" i="31"/>
  <c r="T78" i="31"/>
  <c r="Y64" i="31"/>
  <c r="T54" i="31"/>
  <c r="P7" i="31"/>
  <c r="R78" i="31"/>
  <c r="S55" i="31"/>
  <c r="U34" i="31"/>
  <c r="P20" i="31"/>
  <c r="Q78" i="31"/>
  <c r="V78" i="31"/>
  <c r="Q33" i="31"/>
  <c r="P22" i="31"/>
  <c r="V90" i="31"/>
  <c r="Q44" i="31"/>
  <c r="X39" i="31"/>
  <c r="X25" i="31"/>
  <c r="X55" i="31"/>
  <c r="V52" i="31"/>
  <c r="Q7" i="31"/>
  <c r="X12" i="31"/>
  <c r="Y73" i="31"/>
  <c r="T60" i="31"/>
  <c r="R29" i="31"/>
  <c r="Y78" i="31"/>
  <c r="Q90" i="31"/>
  <c r="Y48" i="31"/>
  <c r="T36" i="31"/>
  <c r="U74" i="31"/>
  <c r="Y96" i="31"/>
  <c r="S38" i="31"/>
  <c r="P18" i="31"/>
  <c r="U96" i="31"/>
  <c r="Q63" i="31"/>
  <c r="W42" i="31"/>
  <c r="P32" i="31"/>
  <c r="S74" i="31"/>
  <c r="Q61" i="31"/>
  <c r="V44" i="31"/>
  <c r="R23" i="31"/>
  <c r="S84" i="31"/>
  <c r="Q68" i="31"/>
  <c r="U91" i="31"/>
  <c r="W59" i="31"/>
  <c r="Y99" i="31"/>
  <c r="P98" i="31"/>
  <c r="Q57" i="31"/>
  <c r="P31" i="31"/>
  <c r="Q74" i="31"/>
  <c r="P68" i="31"/>
  <c r="T61" i="31"/>
  <c r="P3" i="31"/>
  <c r="T82" i="31"/>
  <c r="S54" i="31"/>
  <c r="V40" i="31"/>
  <c r="T24" i="31"/>
  <c r="S82" i="31"/>
  <c r="U84" i="31"/>
  <c r="U40" i="31"/>
  <c r="Q28" i="31"/>
  <c r="V55" i="31"/>
  <c r="Y23" i="31"/>
  <c r="X16" i="31"/>
  <c r="V38" i="31"/>
  <c r="X78" i="31"/>
  <c r="V25" i="31"/>
  <c r="W3" i="31"/>
  <c r="T52" i="31"/>
  <c r="X10" i="31"/>
  <c r="R55" i="31"/>
  <c r="R31" i="31"/>
  <c r="S79" i="31"/>
  <c r="W49" i="31"/>
  <c r="X35" i="31"/>
  <c r="Q21" i="31"/>
  <c r="Q79" i="31"/>
  <c r="P79" i="31"/>
  <c r="T34" i="31"/>
  <c r="Q23" i="31"/>
  <c r="P82" i="31"/>
  <c r="W81" i="31"/>
  <c r="P30" i="31"/>
  <c r="T4" i="31"/>
  <c r="Q95" i="31"/>
  <c r="X58" i="31"/>
  <c r="X8" i="31"/>
  <c r="Q4" i="31"/>
  <c r="Q65" i="31"/>
  <c r="Y35" i="31"/>
  <c r="U19" i="31"/>
  <c r="Y80" i="31"/>
  <c r="R94" i="31"/>
  <c r="Q49" i="31"/>
  <c r="Y37" i="31"/>
  <c r="X75" i="31"/>
  <c r="T97" i="31"/>
  <c r="T41" i="31"/>
  <c r="Q19" i="31"/>
  <c r="Q97" i="31"/>
  <c r="V57" i="31"/>
  <c r="X43" i="31"/>
  <c r="X33" i="31"/>
  <c r="W75" i="31"/>
  <c r="P62" i="31"/>
  <c r="T45" i="31"/>
  <c r="S25" i="31"/>
  <c r="R85" i="31"/>
  <c r="W72" i="31"/>
  <c r="U93" i="31"/>
  <c r="S3" i="31"/>
  <c r="U100" i="31"/>
  <c r="S100" i="31"/>
  <c r="T59" i="31"/>
  <c r="T33" i="31"/>
  <c r="Q75" i="31"/>
  <c r="V72" i="31"/>
  <c r="T63" i="31"/>
  <c r="P5" i="31"/>
  <c r="S83" i="31"/>
  <c r="Y55" i="31"/>
  <c r="Q41" i="31"/>
  <c r="P10" i="31"/>
  <c r="P83" i="31"/>
  <c r="X86" i="31"/>
  <c r="P41" i="31"/>
  <c r="T29" i="31"/>
  <c r="T95" i="31"/>
  <c r="P87" i="31"/>
  <c r="Y36" i="31"/>
  <c r="W6" i="31"/>
  <c r="T7" i="31"/>
  <c r="X80" i="31"/>
  <c r="U101" i="31"/>
  <c r="W65" i="31"/>
  <c r="V58" i="31"/>
  <c r="Y6" i="31"/>
  <c r="T74" i="31"/>
  <c r="R65" i="31"/>
  <c r="T90" i="31"/>
  <c r="R19" i="31"/>
  <c r="U51" i="31"/>
  <c r="V79" i="31"/>
  <c r="P59" i="31"/>
  <c r="U81" i="31"/>
  <c r="X50" i="31"/>
  <c r="Q80" i="31"/>
  <c r="X81" i="31"/>
  <c r="W35" i="31"/>
  <c r="R24" i="31"/>
  <c r="W90" i="31"/>
  <c r="Q82" i="31"/>
  <c r="P33" i="31"/>
  <c r="V3" i="31"/>
  <c r="Q91" i="31"/>
  <c r="X47" i="31"/>
  <c r="S40" i="31"/>
  <c r="S26" i="31"/>
  <c r="S58" i="31"/>
  <c r="S53" i="31"/>
  <c r="V8" i="31"/>
  <c r="Y13" i="31"/>
  <c r="Q94" i="31"/>
  <c r="T62" i="31"/>
  <c r="T32" i="31"/>
  <c r="X76" i="31"/>
  <c r="Q98" i="31"/>
  <c r="Y42" i="31"/>
  <c r="Q9" i="31"/>
  <c r="W100" i="31"/>
  <c r="Y63" i="31"/>
  <c r="X44" i="31"/>
  <c r="Q36" i="31"/>
  <c r="U76" i="31"/>
  <c r="W41" i="31"/>
  <c r="U48" i="31"/>
  <c r="Y26" i="31"/>
  <c r="R86" i="31"/>
  <c r="S73" i="31"/>
  <c r="U95" i="31"/>
  <c r="R15" i="31"/>
  <c r="P101" i="31"/>
  <c r="V102" i="31"/>
  <c r="U61" i="31"/>
  <c r="W34" i="31"/>
  <c r="S76" i="31"/>
  <c r="Q73" i="31"/>
  <c r="T65" i="31"/>
  <c r="Q6" i="31"/>
  <c r="Q84" i="31"/>
  <c r="W64" i="31"/>
  <c r="V23" i="31"/>
  <c r="Q11" i="31"/>
  <c r="P84" i="31"/>
  <c r="Q87" i="31"/>
  <c r="U42" i="31"/>
  <c r="W30" i="31"/>
  <c r="P96" i="31"/>
  <c r="T49" i="31"/>
  <c r="S5" i="31"/>
  <c r="X7" i="31"/>
  <c r="T99" i="31"/>
  <c r="P55" i="31"/>
  <c r="Q47" i="31"/>
  <c r="X32" i="31"/>
  <c r="R16" i="31"/>
  <c r="T79" i="31"/>
  <c r="Q14" i="31"/>
  <c r="Y68" i="31"/>
  <c r="V95" i="31"/>
  <c r="S94" i="31"/>
  <c r="U58" i="31"/>
  <c r="S88" i="31"/>
  <c r="S48" i="31"/>
  <c r="P60" i="31"/>
  <c r="R45" i="31"/>
  <c r="V91" i="31"/>
  <c r="W92" i="31"/>
  <c r="T50" i="31"/>
  <c r="P25" i="31"/>
  <c r="R91" i="31"/>
  <c r="T84" i="31"/>
  <c r="S34" i="31"/>
  <c r="U4" i="31"/>
  <c r="W94" i="31"/>
  <c r="Q48" i="31"/>
  <c r="S42" i="31"/>
  <c r="Y27" i="31"/>
  <c r="W98" i="31"/>
  <c r="Q59" i="31"/>
  <c r="W13" i="31"/>
  <c r="R5" i="31"/>
  <c r="P69" i="31"/>
  <c r="P39" i="31"/>
  <c r="R20" i="31"/>
  <c r="Y83" i="31"/>
  <c r="T98" i="31"/>
  <c r="S51" i="31"/>
  <c r="P38" i="31"/>
  <c r="R101" i="31"/>
  <c r="W66" i="31"/>
  <c r="W45" i="31"/>
  <c r="V37" i="31"/>
  <c r="W77" i="31"/>
  <c r="Q56" i="31"/>
  <c r="V50" i="31"/>
  <c r="V27" i="31"/>
  <c r="W91" i="31"/>
  <c r="W76" i="31"/>
  <c r="U97" i="31"/>
  <c r="X21" i="31"/>
  <c r="U59" i="31"/>
  <c r="Q77" i="31"/>
  <c r="U63" i="31"/>
  <c r="R37" i="31"/>
  <c r="T77" i="31"/>
  <c r="V76" i="31"/>
  <c r="T67" i="31"/>
  <c r="R7" i="31"/>
  <c r="P85" i="31"/>
  <c r="V65" i="31"/>
  <c r="Q25" i="31"/>
  <c r="R12" i="31"/>
  <c r="X90" i="31"/>
  <c r="T89" i="31"/>
  <c r="R4" i="31"/>
  <c r="X3" i="31"/>
  <c r="Y98" i="31"/>
  <c r="Q55" i="31"/>
  <c r="V6" i="31"/>
  <c r="Y8" i="31"/>
  <c r="P100" i="31"/>
  <c r="V56" i="31"/>
  <c r="T6" i="31"/>
  <c r="T3" i="31"/>
  <c r="Y62" i="31"/>
  <c r="R67" i="31"/>
  <c r="X18" i="31"/>
  <c r="V9" i="31"/>
  <c r="S70" i="31"/>
  <c r="U67" i="31"/>
  <c r="X45" i="31"/>
  <c r="T94" i="31"/>
  <c r="Q3" i="31"/>
  <c r="U25" i="31"/>
  <c r="W53" i="31"/>
  <c r="X59" i="31"/>
  <c r="X64" i="31"/>
  <c r="X65" i="31"/>
  <c r="W56" i="31"/>
  <c r="Q8" i="31"/>
  <c r="R95" i="31"/>
  <c r="R50" i="31"/>
  <c r="Y43" i="31"/>
  <c r="R30" i="31"/>
  <c r="R99" i="31"/>
  <c r="R61" i="31"/>
  <c r="R14" i="31"/>
  <c r="S6" i="31"/>
  <c r="X60" i="31"/>
  <c r="Q54" i="31"/>
  <c r="Y9" i="31"/>
  <c r="S14" i="31"/>
  <c r="X97" i="31"/>
  <c r="T64" i="31"/>
  <c r="R35" i="31"/>
  <c r="X77" i="31"/>
  <c r="V101" i="31"/>
  <c r="Y44" i="31"/>
  <c r="T10" i="31"/>
  <c r="W78" i="31"/>
  <c r="T57" i="31"/>
  <c r="Y4" i="31"/>
  <c r="R28" i="31"/>
  <c r="S92" i="31"/>
  <c r="Y79" i="31"/>
  <c r="U99" i="31"/>
  <c r="U22" i="31"/>
  <c r="W61" i="31"/>
  <c r="Y82" i="31"/>
  <c r="U65" i="31"/>
  <c r="Y38" i="31"/>
  <c r="S78" i="31"/>
  <c r="P77" i="31"/>
  <c r="T69" i="31"/>
  <c r="S8" i="31"/>
  <c r="P86" i="31"/>
  <c r="R66" i="31"/>
  <c r="U30" i="31"/>
  <c r="S13" i="31"/>
  <c r="R56" i="31"/>
  <c r="X91" i="31"/>
  <c r="U5" i="31"/>
  <c r="W4" i="31"/>
  <c r="V99" i="31"/>
  <c r="Y56" i="31"/>
  <c r="W14" i="31"/>
  <c r="X14" i="31"/>
  <c r="S91" i="31"/>
  <c r="Y61" i="31"/>
  <c r="W7" i="31"/>
  <c r="S4" i="31"/>
  <c r="R68" i="31"/>
  <c r="R69" i="31"/>
  <c r="Y19" i="31"/>
  <c r="W10" i="31"/>
  <c r="X70" i="31"/>
  <c r="V34" i="31"/>
  <c r="T17" i="31"/>
  <c r="V18" i="31"/>
  <c r="R22" i="31"/>
  <c r="T39" i="31"/>
  <c r="R46" i="31"/>
  <c r="S11" i="31"/>
  <c r="Y95" i="31"/>
  <c r="W67" i="31"/>
  <c r="R52" i="31"/>
  <c r="Q92" i="31"/>
  <c r="W16" i="31"/>
  <c r="X5" i="31"/>
  <c r="Q100" i="31"/>
  <c r="W62" i="31"/>
  <c r="V16" i="31"/>
  <c r="X15" i="31"/>
  <c r="Y94" i="31"/>
  <c r="V62" i="31"/>
  <c r="X13" i="31"/>
  <c r="T5" i="31"/>
  <c r="V69" i="31"/>
  <c r="R71" i="31"/>
  <c r="T20" i="31"/>
  <c r="X11" i="31"/>
  <c r="Y71" i="31"/>
  <c r="S39" i="31"/>
  <c r="U18" i="31"/>
  <c r="W19" i="31"/>
  <c r="V89" i="31"/>
  <c r="W51" i="31"/>
  <c r="O10" i="3" a="1"/>
  <c r="AA41" i="31" l="1" a="1"/>
  <c r="AA46" i="31" s="1"/>
  <c r="AA26" i="31" a="1"/>
  <c r="AA29" i="31" s="1"/>
  <c r="AD29" i="31" s="1"/>
  <c r="R11" i="3"/>
  <c r="T13" i="3"/>
  <c r="R13" i="3"/>
  <c r="S11" i="3"/>
  <c r="P11" i="3"/>
  <c r="Q11" i="3"/>
  <c r="T11" i="3"/>
  <c r="O14" i="3"/>
  <c r="P14" i="3"/>
  <c r="O12" i="3"/>
  <c r="Q14" i="3"/>
  <c r="P12" i="3"/>
  <c r="R14" i="3"/>
  <c r="O10" i="3"/>
  <c r="Q12" i="3"/>
  <c r="S14" i="3"/>
  <c r="P10" i="3"/>
  <c r="R12" i="3"/>
  <c r="T14" i="3"/>
  <c r="O15" i="3"/>
  <c r="S13" i="3"/>
  <c r="Q10" i="3"/>
  <c r="S12" i="3"/>
  <c r="P15" i="3"/>
  <c r="R10" i="3"/>
  <c r="T12" i="3"/>
  <c r="Q15" i="3"/>
  <c r="T15" i="3"/>
  <c r="S10" i="3"/>
  <c r="R15" i="3"/>
  <c r="T10" i="3"/>
  <c r="O13" i="3"/>
  <c r="S15" i="3"/>
  <c r="P13" i="3"/>
  <c r="O11" i="3"/>
  <c r="Q13" i="3"/>
  <c r="AA48" i="31" l="1"/>
  <c r="AA44" i="31"/>
  <c r="AA42" i="31"/>
  <c r="AA43" i="31"/>
  <c r="AA49" i="31"/>
  <c r="AA50" i="31"/>
  <c r="AA45" i="31"/>
  <c r="AA47" i="31"/>
  <c r="AA41" i="31"/>
  <c r="AA33" i="31"/>
  <c r="AD33" i="31" s="1"/>
  <c r="AF33" i="31" s="1"/>
  <c r="AA34" i="31"/>
  <c r="AD34" i="31" s="1"/>
  <c r="AF34" i="31" s="1"/>
  <c r="AA35" i="31"/>
  <c r="AD35" i="31" s="1"/>
  <c r="AC35" i="31" s="1"/>
  <c r="AA26" i="31"/>
  <c r="AD26" i="31" s="1"/>
  <c r="AA27" i="31"/>
  <c r="AD27" i="31" s="1"/>
  <c r="AC27" i="31" s="1"/>
  <c r="AA31" i="31"/>
  <c r="AD31" i="31" s="1"/>
  <c r="AC31" i="31" s="1"/>
  <c r="AA30" i="31"/>
  <c r="AD30" i="31" s="1"/>
  <c r="AF30" i="31" s="1"/>
  <c r="AA32" i="31"/>
  <c r="AD32" i="31" s="1"/>
  <c r="AB32" i="31" s="1"/>
  <c r="AA28" i="31"/>
  <c r="AD28" i="31" s="1"/>
  <c r="AB28" i="31" s="1"/>
  <c r="E3" i="31" a="1"/>
  <c r="AF29" i="31"/>
  <c r="AB29" i="31"/>
  <c r="AC29" i="31"/>
  <c r="U10" i="3" a="1"/>
  <c r="AF32" i="31" l="1"/>
  <c r="AC32" i="31"/>
  <c r="AF31" i="31"/>
  <c r="AB27" i="31"/>
  <c r="AF27" i="31"/>
  <c r="AB34" i="31"/>
  <c r="AB33" i="31"/>
  <c r="AB31" i="31"/>
  <c r="AC33" i="31"/>
  <c r="AC30" i="31"/>
  <c r="AB30" i="31"/>
  <c r="AF35" i="31"/>
  <c r="AC34" i="31"/>
  <c r="AB35" i="31"/>
  <c r="AF28" i="31"/>
  <c r="AC28" i="31"/>
  <c r="E18" i="31"/>
  <c r="E28" i="31"/>
  <c r="E69" i="31"/>
  <c r="E101" i="31"/>
  <c r="E58" i="31"/>
  <c r="E86" i="31"/>
  <c r="E51" i="31"/>
  <c r="E72" i="31"/>
  <c r="E13" i="31"/>
  <c r="E11" i="31"/>
  <c r="E94" i="31"/>
  <c r="E54" i="31"/>
  <c r="E60" i="31"/>
  <c r="E7" i="31"/>
  <c r="E84" i="31"/>
  <c r="E47" i="31"/>
  <c r="E23" i="31"/>
  <c r="E20" i="31"/>
  <c r="E35" i="31"/>
  <c r="E71" i="31"/>
  <c r="E33" i="31"/>
  <c r="E88" i="31"/>
  <c r="E66" i="31"/>
  <c r="E44" i="31"/>
  <c r="E83" i="31"/>
  <c r="E85" i="31"/>
  <c r="E34" i="31"/>
  <c r="E19" i="31"/>
  <c r="E38" i="31"/>
  <c r="E39" i="31"/>
  <c r="E63" i="31"/>
  <c r="E65" i="31"/>
  <c r="E74" i="31"/>
  <c r="E12" i="31"/>
  <c r="E45" i="31"/>
  <c r="E73" i="31"/>
  <c r="E50" i="31"/>
  <c r="E56" i="31"/>
  <c r="E32" i="31"/>
  <c r="E46" i="31"/>
  <c r="E49" i="31"/>
  <c r="E52" i="31"/>
  <c r="E78" i="31"/>
  <c r="E36" i="31"/>
  <c r="E80" i="31"/>
  <c r="E30" i="31"/>
  <c r="E15" i="31"/>
  <c r="E75" i="31"/>
  <c r="E48" i="31"/>
  <c r="E64" i="31"/>
  <c r="E98" i="31"/>
  <c r="E102" i="31"/>
  <c r="E79" i="31"/>
  <c r="E40" i="31"/>
  <c r="E42" i="31"/>
  <c r="E68" i="31"/>
  <c r="E53" i="31"/>
  <c r="E59" i="31"/>
  <c r="E10" i="31"/>
  <c r="E24" i="31"/>
  <c r="E77" i="31"/>
  <c r="E43" i="31"/>
  <c r="E14" i="31"/>
  <c r="E57" i="31"/>
  <c r="E100" i="31"/>
  <c r="E16" i="31"/>
  <c r="E91" i="31"/>
  <c r="E3" i="31"/>
  <c r="E6" i="31"/>
  <c r="E97" i="31"/>
  <c r="E67" i="31"/>
  <c r="E21" i="31"/>
  <c r="E76" i="31"/>
  <c r="E26" i="31"/>
  <c r="E8" i="31"/>
  <c r="E96" i="31"/>
  <c r="E22" i="31"/>
  <c r="E31" i="31"/>
  <c r="E93" i="31"/>
  <c r="E82" i="31"/>
  <c r="E92" i="31"/>
  <c r="E99" i="31"/>
  <c r="E37" i="31"/>
  <c r="E29" i="31"/>
  <c r="E81" i="31"/>
  <c r="E90" i="31"/>
  <c r="E70" i="31"/>
  <c r="E27" i="31"/>
  <c r="E9" i="31"/>
  <c r="E87" i="31"/>
  <c r="E89" i="31"/>
  <c r="E41" i="31"/>
  <c r="E61" i="31"/>
  <c r="E5" i="31"/>
  <c r="E4" i="31"/>
  <c r="E55" i="31"/>
  <c r="E17" i="31"/>
  <c r="E62" i="31"/>
  <c r="E95" i="31"/>
  <c r="E25" i="31"/>
  <c r="AB26" i="31"/>
  <c r="AD36" i="31"/>
  <c r="AC26" i="31"/>
  <c r="U13" i="3"/>
  <c r="Q17" i="3" s="1"/>
  <c r="U11" i="3"/>
  <c r="U14" i="3"/>
  <c r="Q18" i="3" s="1"/>
  <c r="S18" i="3" s="1"/>
  <c r="U12" i="3"/>
  <c r="U10" i="3"/>
  <c r="U15" i="3"/>
  <c r="Q19" i="3" s="1"/>
  <c r="S19" i="3" s="1"/>
  <c r="AD37" i="31" l="1"/>
  <c r="AF37" i="31" s="1"/>
  <c r="AG45" i="31" s="1"/>
  <c r="AH45" i="31" s="1"/>
  <c r="AI45" i="31" s="1"/>
  <c r="AH38" i="31"/>
  <c r="AF36" i="31"/>
  <c r="G3" i="3" a="1"/>
  <c r="X13" i="3"/>
  <c r="X11" i="3"/>
  <c r="X12" i="3"/>
  <c r="Q20" i="3"/>
  <c r="S20" i="3" s="1"/>
  <c r="S17" i="3"/>
  <c r="G5" i="2"/>
  <c r="AG31" i="31" l="1"/>
  <c r="AH31" i="31" s="1"/>
  <c r="AI31" i="31" s="1"/>
  <c r="AB38" i="31"/>
  <c r="AG42" i="31"/>
  <c r="AH42" i="31" s="1"/>
  <c r="AI42" i="31" s="1"/>
  <c r="AG49" i="31"/>
  <c r="AH49" i="31" s="1"/>
  <c r="AI49" i="31" s="1"/>
  <c r="AG33" i="31"/>
  <c r="AH33" i="31" s="1"/>
  <c r="AI33" i="31" s="1"/>
  <c r="AG35" i="31"/>
  <c r="AH35" i="31" s="1"/>
  <c r="AI35" i="31" s="1"/>
  <c r="AG41" i="31"/>
  <c r="AH41" i="31" s="1"/>
  <c r="AI41" i="31" s="1"/>
  <c r="AG43" i="31"/>
  <c r="AH43" i="31" s="1"/>
  <c r="AI43" i="31" s="1"/>
  <c r="AG29" i="31"/>
  <c r="AH29" i="31" s="1"/>
  <c r="AI29" i="31" s="1"/>
  <c r="AG32" i="31"/>
  <c r="AH32" i="31" s="1"/>
  <c r="AI32" i="31" s="1"/>
  <c r="AH37" i="31"/>
  <c r="AB41" i="31" s="1"/>
  <c r="AB42" i="31" s="1"/>
  <c r="AB43" i="31" s="1"/>
  <c r="AB44" i="31" s="1"/>
  <c r="AB45" i="31" s="1"/>
  <c r="AB46" i="31" s="1"/>
  <c r="AB47" i="31" s="1"/>
  <c r="AB48" i="31" s="1"/>
  <c r="AB49" i="31" s="1"/>
  <c r="AB50" i="31" s="1"/>
  <c r="AG28" i="31"/>
  <c r="AH28" i="31" s="1"/>
  <c r="AI28" i="31" s="1"/>
  <c r="AG46" i="31"/>
  <c r="AH46" i="31" s="1"/>
  <c r="AI46" i="31" s="1"/>
  <c r="AG50" i="31"/>
  <c r="AH50" i="31" s="1"/>
  <c r="AI50" i="31" s="1"/>
  <c r="AG47" i="31"/>
  <c r="AH47" i="31" s="1"/>
  <c r="AI47" i="31" s="1"/>
  <c r="AG27" i="31"/>
  <c r="AH27" i="31" s="1"/>
  <c r="AI27" i="31" s="1"/>
  <c r="AG34" i="31"/>
  <c r="AH34" i="31" s="1"/>
  <c r="AI34" i="31" s="1"/>
  <c r="AG48" i="31"/>
  <c r="AH48" i="31" s="1"/>
  <c r="AI48" i="31" s="1"/>
  <c r="AG36" i="31"/>
  <c r="AH36" i="31" s="1"/>
  <c r="AI36" i="31" s="1"/>
  <c r="AG44" i="31"/>
  <c r="AH44" i="31" s="1"/>
  <c r="AI44" i="31" s="1"/>
  <c r="AG30" i="31"/>
  <c r="AH30" i="31" s="1"/>
  <c r="AI30" i="31" s="1"/>
  <c r="G10" i="3"/>
  <c r="G26" i="3"/>
  <c r="G3" i="3"/>
  <c r="G9" i="3"/>
  <c r="G15" i="3"/>
  <c r="G21" i="3"/>
  <c r="G6" i="3"/>
  <c r="G20" i="3"/>
  <c r="G12" i="3"/>
  <c r="G22" i="3"/>
  <c r="G17" i="3"/>
  <c r="G13" i="3"/>
  <c r="G23" i="3"/>
  <c r="G16" i="3"/>
  <c r="G7" i="3"/>
  <c r="G11" i="3"/>
  <c r="G18" i="3"/>
  <c r="G4" i="3"/>
  <c r="G24" i="3"/>
  <c r="G19" i="3"/>
  <c r="G25" i="3"/>
  <c r="G8" i="3"/>
  <c r="G14" i="3"/>
  <c r="G5" i="3"/>
  <c r="Y10" i="3"/>
  <c r="Y12" i="3" s="1"/>
  <c r="A13" i="2"/>
  <c r="B13" i="2"/>
  <c r="A14" i="2"/>
  <c r="B14" i="2"/>
  <c r="Y13" i="3" l="1"/>
  <c r="Y11" i="3"/>
  <c r="Q24" i="3"/>
  <c r="Q25" i="3"/>
  <c r="E12" i="2"/>
  <c r="E10" i="2"/>
  <c r="E9" i="2"/>
  <c r="E5" i="2"/>
  <c r="E2" i="2"/>
  <c r="E3" i="2"/>
  <c r="E6" i="2"/>
  <c r="E7" i="2"/>
  <c r="E4" i="2"/>
  <c r="E8" i="2"/>
  <c r="E11" i="2"/>
  <c r="S25" i="3" l="1"/>
  <c r="Q26" i="3"/>
  <c r="U25" i="3" s="1"/>
  <c r="V25" i="3" s="1"/>
  <c r="S26" i="3"/>
  <c r="U26" i="3" s="1"/>
  <c r="V26" i="3" s="1"/>
  <c r="S24" i="3"/>
  <c r="Q22" i="3"/>
  <c r="H3" i="2"/>
  <c r="J8" i="2" a="1"/>
  <c r="D14" i="2" a="1"/>
  <c r="S22" i="3" l="1"/>
  <c r="Q23" i="3"/>
  <c r="E14" i="2"/>
  <c r="D14" i="2"/>
  <c r="D15" i="2"/>
  <c r="E15" i="2"/>
  <c r="J8" i="2"/>
  <c r="J9" i="2"/>
  <c r="S23" i="3" l="1"/>
  <c r="T22" i="3" s="1"/>
  <c r="U22" i="3" s="1"/>
  <c r="V22" i="3" s="1"/>
  <c r="Q21" i="3"/>
  <c r="S21" i="3" s="1"/>
  <c r="H5" i="2"/>
  <c r="I5" i="2" s="1"/>
  <c r="H4" i="2"/>
  <c r="D17" i="2" a="1"/>
  <c r="U21" i="3" l="1"/>
  <c r="V21" i="3" s="1"/>
  <c r="T19" i="3"/>
  <c r="U19" i="3" s="1"/>
  <c r="V19" i="3" s="1"/>
  <c r="T18" i="3"/>
  <c r="U18" i="3" s="1"/>
  <c r="V18" i="3" s="1"/>
  <c r="T20" i="3"/>
  <c r="U20" i="3" s="1"/>
  <c r="V20" i="3" s="1"/>
  <c r="T17" i="3"/>
  <c r="U17" i="3" s="1"/>
  <c r="V17" i="3" s="1"/>
  <c r="U24" i="3"/>
  <c r="T23" i="3"/>
  <c r="U23" i="3" s="1"/>
  <c r="V23" i="3" s="1"/>
  <c r="E18" i="2"/>
  <c r="D17" i="2"/>
  <c r="E17" i="2"/>
  <c r="D18" i="2"/>
  <c r="F8" i="2" l="1" a="1"/>
  <c r="F8" i="2" l="1"/>
  <c r="F9" i="2"/>
  <c r="C2" i="2" l="1" a="1"/>
  <c r="C5" i="2" l="1"/>
  <c r="C2" i="2"/>
  <c r="C6" i="2"/>
  <c r="C3" i="2"/>
  <c r="C7" i="2"/>
  <c r="C4" i="2"/>
  <c r="C8" i="2"/>
  <c r="C12" i="2"/>
  <c r="C11" i="2"/>
  <c r="C9" i="2"/>
  <c r="C10" i="2"/>
  <c r="C20" i="1"/>
  <c r="L19" i="1"/>
  <c r="K19" i="1"/>
  <c r="J19" i="1"/>
  <c r="C17" i="1"/>
  <c r="L17" i="1" s="1"/>
  <c r="C16" i="1"/>
  <c r="J16" i="1" s="1"/>
  <c r="C15" i="1"/>
  <c r="L15" i="1" s="1"/>
  <c r="C14" i="1"/>
  <c r="L14" i="1" s="1"/>
  <c r="C13" i="1"/>
  <c r="L13" i="1" s="1"/>
  <c r="C12" i="1"/>
  <c r="J12" i="1" s="1"/>
  <c r="C11" i="1"/>
  <c r="L11" i="1" s="1"/>
  <c r="C10" i="1"/>
  <c r="L10" i="1" s="1"/>
  <c r="C9" i="1"/>
  <c r="L9" i="1" s="1"/>
  <c r="C8" i="1"/>
  <c r="J8" i="1" s="1"/>
  <c r="C7" i="1"/>
  <c r="L7" i="1" s="1"/>
  <c r="C6" i="1"/>
  <c r="L6" i="1" s="1"/>
  <c r="N5" i="1"/>
  <c r="N6" i="1" s="1"/>
  <c r="C5" i="1"/>
  <c r="L5" i="1" s="1"/>
  <c r="Q4" i="1"/>
  <c r="P4" i="1"/>
  <c r="O4" i="1"/>
  <c r="C4" i="1"/>
  <c r="L4" i="1" s="1"/>
  <c r="G3" i="2" l="1"/>
  <c r="G4" i="2"/>
  <c r="I4" i="2" s="1"/>
  <c r="K10" i="1"/>
  <c r="P5" i="1"/>
  <c r="L12" i="1"/>
  <c r="K12" i="1"/>
  <c r="O5" i="1"/>
  <c r="I16" i="1"/>
  <c r="J6" i="1"/>
  <c r="K6" i="1"/>
  <c r="K16" i="1"/>
  <c r="J14" i="1"/>
  <c r="K14" i="1"/>
  <c r="L8" i="1"/>
  <c r="L16" i="1"/>
  <c r="I8" i="1"/>
  <c r="K8" i="1"/>
  <c r="J10" i="1"/>
  <c r="I12" i="1"/>
  <c r="Q6" i="1"/>
  <c r="P6" i="1"/>
  <c r="O6" i="1"/>
  <c r="N7" i="1"/>
  <c r="I6" i="1"/>
  <c r="I10" i="1"/>
  <c r="I14" i="1"/>
  <c r="I4" i="1"/>
  <c r="Q5" i="1"/>
  <c r="J4" i="1"/>
  <c r="I7" i="1"/>
  <c r="I11" i="1"/>
  <c r="I15" i="1"/>
  <c r="J7" i="1"/>
  <c r="J11" i="1"/>
  <c r="J15" i="1"/>
  <c r="K4" i="1"/>
  <c r="K15" i="1"/>
  <c r="K7" i="1"/>
  <c r="K11" i="1"/>
  <c r="I5" i="1"/>
  <c r="I9" i="1"/>
  <c r="I13" i="1"/>
  <c r="I17" i="1"/>
  <c r="J9" i="1"/>
  <c r="J13" i="1"/>
  <c r="J17" i="1"/>
  <c r="K5" i="1"/>
  <c r="K9" i="1"/>
  <c r="K13" i="1"/>
  <c r="K17" i="1"/>
  <c r="J5" i="1"/>
  <c r="G8" i="2" a="1"/>
  <c r="G8" i="2" l="1"/>
  <c r="H8" i="2" s="1"/>
  <c r="I8" i="2" s="1"/>
  <c r="G9" i="2"/>
  <c r="H9" i="2" s="1"/>
  <c r="I9" i="2" s="1"/>
  <c r="K4" i="2"/>
  <c r="K5" i="2"/>
  <c r="I3" i="2"/>
  <c r="J3" i="2" s="1"/>
  <c r="K3" i="2" s="1"/>
  <c r="H21" i="1" a="1"/>
  <c r="G21" i="1" a="1"/>
  <c r="P7" i="1"/>
  <c r="N8" i="1"/>
  <c r="O7" i="1"/>
  <c r="Q7" i="1"/>
  <c r="Q8" i="1" l="1"/>
  <c r="P8" i="1"/>
  <c r="O8" i="1"/>
  <c r="N9" i="1"/>
  <c r="G25" i="1"/>
  <c r="G24" i="1"/>
  <c r="G23" i="1"/>
  <c r="G22" i="1"/>
  <c r="G21" i="1"/>
  <c r="J25" i="1"/>
  <c r="I22" i="1"/>
  <c r="I25" i="1"/>
  <c r="H22" i="1"/>
  <c r="J21" i="1"/>
  <c r="H25" i="1"/>
  <c r="L21" i="1"/>
  <c r="L24" i="1"/>
  <c r="K21" i="1"/>
  <c r="J24" i="1"/>
  <c r="I21" i="1"/>
  <c r="I24" i="1"/>
  <c r="H21" i="1"/>
  <c r="H24" i="1"/>
  <c r="L23" i="1"/>
  <c r="K23" i="1"/>
  <c r="J23" i="1"/>
  <c r="I23" i="1"/>
  <c r="L25" i="1"/>
  <c r="K22" i="1"/>
  <c r="H23" i="1"/>
  <c r="L22" i="1"/>
  <c r="K25" i="1"/>
  <c r="J22" i="1"/>
  <c r="K24" i="1"/>
  <c r="B22" i="1" l="1"/>
  <c r="C21" i="1"/>
  <c r="F23" i="1" s="1"/>
  <c r="Y27" i="1" a="1"/>
  <c r="C22" i="1"/>
  <c r="N10" i="1"/>
  <c r="P9" i="1"/>
  <c r="Q9" i="1"/>
  <c r="O9" i="1"/>
  <c r="N11" i="1" l="1"/>
  <c r="Q10" i="1"/>
  <c r="P10" i="1"/>
  <c r="O10" i="1"/>
  <c r="Y31" i="1"/>
  <c r="Y30" i="1"/>
  <c r="Y29" i="1"/>
  <c r="Y28" i="1"/>
  <c r="Y27" i="1"/>
  <c r="G19" i="1" l="1" a="1"/>
  <c r="G19" i="1" s="1"/>
  <c r="F4" i="1" a="1"/>
  <c r="Q11" i="1"/>
  <c r="N12" i="1"/>
  <c r="P11" i="1"/>
  <c r="O11" i="1"/>
  <c r="Q12" i="1" l="1"/>
  <c r="P12" i="1"/>
  <c r="O12" i="1"/>
  <c r="N13" i="1"/>
  <c r="F15" i="1"/>
  <c r="G15" i="1" s="1"/>
  <c r="F14" i="1"/>
  <c r="G14" i="1" s="1"/>
  <c r="F13" i="1"/>
  <c r="G13" i="1" s="1"/>
  <c r="F11" i="1"/>
  <c r="G11" i="1" s="1"/>
  <c r="F8" i="1"/>
  <c r="G8" i="1" s="1"/>
  <c r="F12" i="1"/>
  <c r="G12" i="1" s="1"/>
  <c r="F9" i="1"/>
  <c r="G9" i="1" s="1"/>
  <c r="F7" i="1"/>
  <c r="G7" i="1" s="1"/>
  <c r="F6" i="1"/>
  <c r="G6" i="1" s="1"/>
  <c r="F5" i="1"/>
  <c r="G5" i="1" s="1"/>
  <c r="F4" i="1"/>
  <c r="F17" i="1"/>
  <c r="G17" i="1" s="1"/>
  <c r="F16" i="1"/>
  <c r="G16" i="1" s="1"/>
  <c r="F10" i="1"/>
  <c r="G10" i="1" s="1"/>
  <c r="E14" i="1"/>
  <c r="E10" i="1"/>
  <c r="E6" i="1"/>
  <c r="E5" i="1"/>
  <c r="E17" i="1"/>
  <c r="E13" i="1"/>
  <c r="E9" i="1"/>
  <c r="E7" i="1"/>
  <c r="E16" i="1"/>
  <c r="E12" i="1"/>
  <c r="E8" i="1"/>
  <c r="E15" i="1"/>
  <c r="E4" i="1"/>
  <c r="E11" i="1"/>
  <c r="O13" i="1" l="1"/>
  <c r="N14" i="1"/>
  <c r="P13" i="1"/>
  <c r="Q13" i="1"/>
  <c r="B21" i="1"/>
  <c r="D21" i="1" s="1"/>
  <c r="G4" i="1"/>
  <c r="B20" i="1"/>
  <c r="W13" i="1" l="1" a="1"/>
  <c r="W13" i="1" s="1"/>
  <c r="F21" i="1"/>
  <c r="W8" i="1" a="1"/>
  <c r="W8" i="1" s="1"/>
  <c r="W7" i="1" a="1"/>
  <c r="W7" i="1" s="1"/>
  <c r="T6" i="1" a="1"/>
  <c r="T6" i="1" s="1"/>
  <c r="W5" i="1" a="1"/>
  <c r="W5" i="1" s="1"/>
  <c r="T8" i="1" a="1"/>
  <c r="T8" i="1" s="1"/>
  <c r="W4" i="1" a="1"/>
  <c r="W4" i="1" s="1"/>
  <c r="T7" i="1" a="1"/>
  <c r="T7" i="1" s="1"/>
  <c r="W6" i="1" a="1"/>
  <c r="W6" i="1" s="1"/>
  <c r="T4" i="1" a="1"/>
  <c r="T4" i="1" s="1"/>
  <c r="T5" i="1" a="1"/>
  <c r="T5" i="1" s="1"/>
  <c r="W9" i="1" a="1"/>
  <c r="W9" i="1" s="1"/>
  <c r="T10" i="1" a="1"/>
  <c r="T10" i="1" s="1"/>
  <c r="W10" i="1" a="1"/>
  <c r="W10" i="1" s="1"/>
  <c r="T9" i="1" a="1"/>
  <c r="T9" i="1" s="1"/>
  <c r="T11" i="1" a="1"/>
  <c r="T11" i="1" s="1"/>
  <c r="W11" i="1" a="1"/>
  <c r="W11" i="1" s="1"/>
  <c r="W12" i="1" a="1"/>
  <c r="W12" i="1" s="1"/>
  <c r="T13" i="1" a="1"/>
  <c r="T13" i="1" s="1"/>
  <c r="D20" i="1"/>
  <c r="E20" i="1" s="1"/>
  <c r="F20" i="1" s="1"/>
  <c r="F22" i="1"/>
  <c r="N15" i="1"/>
  <c r="Q14" i="1"/>
  <c r="P14" i="1"/>
  <c r="O14" i="1"/>
  <c r="T12" i="1" a="1"/>
  <c r="T12" i="1" s="1"/>
  <c r="T14" i="1" l="1" a="1"/>
  <c r="T14" i="1" s="1"/>
  <c r="W14" i="1" a="1"/>
  <c r="W14" i="1" s="1"/>
  <c r="Q15" i="1"/>
  <c r="N16" i="1"/>
  <c r="P15" i="1"/>
  <c r="O15" i="1"/>
  <c r="T15" i="1" l="1" a="1"/>
  <c r="T15" i="1" s="1"/>
  <c r="W15" i="1" a="1"/>
  <c r="W15" i="1" s="1"/>
  <c r="Q16" i="1"/>
  <c r="P16" i="1"/>
  <c r="O16" i="1"/>
  <c r="N17" i="1"/>
  <c r="W16" i="1" l="1" a="1"/>
  <c r="W16" i="1" s="1"/>
  <c r="T16" i="1" a="1"/>
  <c r="T16" i="1" s="1"/>
  <c r="N18" i="1"/>
  <c r="O17" i="1"/>
  <c r="Q17" i="1"/>
  <c r="P17" i="1"/>
  <c r="W17" i="1" l="1" a="1"/>
  <c r="W17" i="1" s="1"/>
  <c r="T17" i="1" a="1"/>
  <c r="T17" i="1" s="1"/>
  <c r="N19" i="1"/>
  <c r="P18" i="1"/>
  <c r="O18" i="1"/>
  <c r="Q18" i="1"/>
  <c r="T18" i="1" l="1" a="1"/>
  <c r="T18" i="1" s="1"/>
  <c r="W18" i="1" a="1"/>
  <c r="W18" i="1" s="1"/>
  <c r="P19" i="1"/>
  <c r="Q19" i="1"/>
  <c r="N20" i="1"/>
  <c r="O19" i="1"/>
  <c r="W19" i="1" l="1" a="1"/>
  <c r="W19" i="1" s="1"/>
  <c r="Q20" i="1"/>
  <c r="O20" i="1"/>
  <c r="P20" i="1"/>
  <c r="N21" i="1"/>
  <c r="T19" i="1" a="1"/>
  <c r="T19" i="1" s="1"/>
  <c r="T20" i="1" l="1" a="1"/>
  <c r="T20" i="1" s="1"/>
  <c r="W20" i="1" a="1"/>
  <c r="W20" i="1" s="1"/>
  <c r="Q21" i="1"/>
  <c r="P21" i="1"/>
  <c r="O21" i="1"/>
  <c r="N22" i="1"/>
  <c r="T21" i="1" l="1" a="1"/>
  <c r="T21" i="1" s="1"/>
  <c r="W21" i="1" a="1"/>
  <c r="W21" i="1" s="1"/>
  <c r="Q22" i="1"/>
  <c r="P22" i="1"/>
  <c r="O22" i="1"/>
  <c r="N23" i="1"/>
  <c r="W22" i="1" l="1" a="1"/>
  <c r="W22" i="1" s="1"/>
  <c r="T22" i="1" a="1"/>
  <c r="T22" i="1" s="1"/>
  <c r="N24" i="1"/>
  <c r="O23" i="1"/>
  <c r="Q23" i="1"/>
  <c r="P23" i="1"/>
  <c r="W23" i="1" s="1" a="1"/>
  <c r="W23" i="1" s="1"/>
  <c r="T23" i="1" l="1" a="1"/>
  <c r="T23" i="1" s="1"/>
  <c r="P24" i="1"/>
  <c r="O24" i="1"/>
  <c r="Q24" i="1"/>
  <c r="W24" i="1" l="1" a="1"/>
  <c r="W24" i="1" s="1"/>
  <c r="T24" i="1" a="1"/>
  <c r="T24" i="1" s="1"/>
  <c r="R4" i="1" a="1"/>
  <c r="R24" i="1" s="1"/>
  <c r="R6" i="1" l="1"/>
  <c r="U6" i="1" s="1"/>
  <c r="R14" i="1"/>
  <c r="X14" i="1" s="1"/>
  <c r="R16" i="1"/>
  <c r="V16" i="1" s="1"/>
  <c r="R21" i="1"/>
  <c r="X21" i="1" s="1"/>
  <c r="R23" i="1"/>
  <c r="X23" i="1" s="1"/>
  <c r="R15" i="1"/>
  <c r="U15" i="1" s="1"/>
  <c r="R18" i="1"/>
  <c r="Y18" i="1" s="1"/>
  <c r="R5" i="1"/>
  <c r="Y5" i="1" s="1"/>
  <c r="R20" i="1"/>
  <c r="Y20" i="1" s="1"/>
  <c r="R17" i="1"/>
  <c r="Y17" i="1" s="1"/>
  <c r="R22" i="1"/>
  <c r="Y22" i="1" s="1"/>
  <c r="R7" i="1"/>
  <c r="X7" i="1" s="1"/>
  <c r="R9" i="1"/>
  <c r="X9" i="1" s="1"/>
  <c r="R10" i="1"/>
  <c r="U10" i="1" s="1"/>
  <c r="R19" i="1"/>
  <c r="Y19" i="1" s="1"/>
  <c r="R12" i="1"/>
  <c r="X12" i="1" s="1"/>
  <c r="R4" i="1"/>
  <c r="V4" i="1" s="1"/>
  <c r="R11" i="1"/>
  <c r="S11" i="1" s="1"/>
  <c r="R8" i="1"/>
  <c r="X8" i="1" s="1"/>
  <c r="R13" i="1"/>
  <c r="Y13" i="1" s="1"/>
  <c r="Y16" i="1"/>
  <c r="X16" i="1"/>
  <c r="U16" i="1"/>
  <c r="Y21" i="1"/>
  <c r="U21" i="1"/>
  <c r="X6" i="1"/>
  <c r="Y11" i="1"/>
  <c r="X11" i="1"/>
  <c r="V11" i="1"/>
  <c r="Y24" i="1"/>
  <c r="X24" i="1"/>
  <c r="S24" i="1"/>
  <c r="V24" i="1"/>
  <c r="U24" i="1"/>
  <c r="X5" i="1" l="1"/>
  <c r="U18" i="1"/>
  <c r="Y14" i="1"/>
  <c r="U14" i="1"/>
  <c r="S14" i="1"/>
  <c r="V14" i="1"/>
  <c r="S8" i="1"/>
  <c r="U11" i="1"/>
  <c r="S4" i="1"/>
  <c r="Y23" i="1"/>
  <c r="X4" i="1"/>
  <c r="Y4" i="1"/>
  <c r="U4" i="1"/>
  <c r="Y6" i="1"/>
  <c r="V6" i="1"/>
  <c r="S6" i="1"/>
  <c r="S13" i="1"/>
  <c r="U13" i="1"/>
  <c r="V13" i="1"/>
  <c r="X13" i="1"/>
  <c r="U8" i="1"/>
  <c r="Y8" i="1"/>
  <c r="S21" i="1"/>
  <c r="V15" i="1"/>
  <c r="V21" i="1"/>
  <c r="V17" i="1"/>
  <c r="V19" i="1"/>
  <c r="Y15" i="1"/>
  <c r="S23" i="1"/>
  <c r="S5" i="1"/>
  <c r="U5" i="1"/>
  <c r="U17" i="1"/>
  <c r="U23" i="1"/>
  <c r="V8" i="1"/>
  <c r="V23" i="1"/>
  <c r="V5" i="1"/>
  <c r="S9" i="1"/>
  <c r="V9" i="1"/>
  <c r="Y9" i="1"/>
  <c r="X15" i="1"/>
  <c r="S15" i="1"/>
  <c r="U9" i="1"/>
  <c r="Y12" i="1"/>
  <c r="V18" i="1"/>
  <c r="S19" i="1"/>
  <c r="S18" i="1"/>
  <c r="U19" i="1"/>
  <c r="S17" i="1"/>
  <c r="S16" i="1"/>
  <c r="V7" i="1"/>
  <c r="S7" i="1"/>
  <c r="X19" i="1"/>
  <c r="V10" i="1"/>
  <c r="Y10" i="1"/>
  <c r="U20" i="1"/>
  <c r="Y7" i="1"/>
  <c r="U7" i="1"/>
  <c r="S22" i="1"/>
  <c r="U22" i="1"/>
  <c r="V20" i="1"/>
  <c r="X18" i="1"/>
  <c r="S10" i="1"/>
  <c r="X10" i="1"/>
  <c r="S12" i="1"/>
  <c r="V22" i="1"/>
  <c r="X20" i="1"/>
  <c r="X17" i="1"/>
  <c r="S20" i="1"/>
  <c r="U12" i="1"/>
  <c r="X22" i="1"/>
  <c r="V12" i="1"/>
  <c r="L6" i="7" a="1"/>
  <c r="L9" i="7" a="1"/>
  <c r="L7" i="7" l="1"/>
  <c r="L6" i="7"/>
  <c r="G3" i="7" a="1"/>
  <c r="G16" i="7" s="1"/>
  <c r="L9" i="7"/>
  <c r="L10" i="7"/>
  <c r="L11" i="7"/>
  <c r="L13" i="7" a="1"/>
  <c r="G7" i="7" l="1"/>
  <c r="G18" i="7"/>
  <c r="G8" i="7"/>
  <c r="G5" i="7"/>
  <c r="G9" i="7"/>
  <c r="G3" i="7"/>
  <c r="G10" i="7"/>
  <c r="G23" i="7"/>
  <c r="G15" i="7"/>
  <c r="G13" i="7"/>
  <c r="G11" i="7"/>
  <c r="G12" i="7"/>
  <c r="G14" i="7"/>
  <c r="G17" i="7"/>
  <c r="G19" i="7"/>
  <c r="G6" i="7"/>
  <c r="G20" i="7"/>
  <c r="G21" i="7"/>
  <c r="G4" i="7"/>
  <c r="G22" i="7"/>
  <c r="H3" i="7" a="1"/>
  <c r="H17" i="7" s="1"/>
  <c r="L14" i="7"/>
  <c r="L13" i="7"/>
  <c r="L15" i="7"/>
  <c r="L16" i="7"/>
  <c r="L18" i="7" a="1"/>
  <c r="N5" i="7" l="1"/>
  <c r="T6" i="7" s="1"/>
  <c r="I3" i="7" a="1"/>
  <c r="I13" i="7" s="1"/>
  <c r="N4" i="7"/>
  <c r="P4" i="7" s="1"/>
  <c r="H7" i="7"/>
  <c r="H21" i="7"/>
  <c r="H8" i="7"/>
  <c r="H20" i="7"/>
  <c r="H15" i="7"/>
  <c r="H19" i="7"/>
  <c r="H18" i="7"/>
  <c r="H14" i="7"/>
  <c r="H13" i="7"/>
  <c r="H9" i="7"/>
  <c r="H16" i="7"/>
  <c r="H3" i="7"/>
  <c r="H12" i="7"/>
  <c r="H23" i="7"/>
  <c r="H11" i="7"/>
  <c r="H6" i="7"/>
  <c r="H10" i="7"/>
  <c r="H22" i="7"/>
  <c r="H4" i="7"/>
  <c r="H5" i="7"/>
  <c r="L18" i="7"/>
  <c r="L19" i="7"/>
  <c r="L20" i="7"/>
  <c r="L21" i="7"/>
  <c r="L22" i="7"/>
  <c r="J3" i="7" l="1" a="1"/>
  <c r="J13" i="7" s="1"/>
  <c r="P5" i="7"/>
  <c r="Q4" i="7" s="1"/>
  <c r="R4" i="7" s="1"/>
  <c r="I17" i="7"/>
  <c r="I6" i="7"/>
  <c r="R5" i="7"/>
  <c r="I8" i="7"/>
  <c r="I14" i="7"/>
  <c r="I23" i="7"/>
  <c r="I19" i="7"/>
  <c r="I9" i="7"/>
  <c r="I10" i="7"/>
  <c r="I7" i="7"/>
  <c r="I20" i="7"/>
  <c r="I11" i="7"/>
  <c r="I21" i="7"/>
  <c r="I12" i="7"/>
  <c r="I22" i="7"/>
  <c r="I3" i="7"/>
  <c r="I18" i="7"/>
  <c r="I5" i="7"/>
  <c r="I4" i="7"/>
  <c r="I15" i="7"/>
  <c r="I16" i="7"/>
  <c r="N9" i="7"/>
  <c r="P9" i="7" s="1"/>
  <c r="N10" i="7"/>
  <c r="P10" i="7" s="1"/>
  <c r="J4" i="7" l="1"/>
  <c r="J11" i="7"/>
  <c r="J9" i="7"/>
  <c r="J15" i="7"/>
  <c r="J7" i="7"/>
  <c r="J6" i="7"/>
  <c r="J3" i="7"/>
  <c r="J23" i="7"/>
  <c r="J19" i="7"/>
  <c r="J20" i="7"/>
  <c r="J21" i="7"/>
  <c r="J18" i="7"/>
  <c r="J22" i="7"/>
  <c r="J16" i="7"/>
  <c r="J8" i="7"/>
  <c r="J17" i="7"/>
  <c r="J5" i="7"/>
  <c r="J10" i="7"/>
  <c r="J14" i="7"/>
  <c r="J12" i="7"/>
  <c r="N14" i="7"/>
  <c r="R15" i="7" s="1"/>
  <c r="R6" i="7"/>
  <c r="T5" i="7"/>
  <c r="N15" i="7"/>
  <c r="P15" i="7" s="1"/>
  <c r="R10" i="7"/>
  <c r="T11" i="7"/>
  <c r="Q9" i="7"/>
  <c r="R9" i="7" s="1"/>
  <c r="T10" i="7"/>
  <c r="R11" i="7"/>
  <c r="N20" i="7" l="1"/>
  <c r="P20" i="7" s="1"/>
  <c r="P14" i="7"/>
  <c r="Q14" i="7" s="1"/>
  <c r="R14" i="7" s="1"/>
  <c r="N19" i="7"/>
  <c r="R20" i="7" s="1"/>
  <c r="T16" i="7"/>
  <c r="T15" i="7"/>
  <c r="R16" i="7"/>
  <c r="T21" i="7" l="1"/>
  <c r="P19" i="7"/>
  <c r="Q19" i="7" s="1"/>
  <c r="R19" i="7" s="1"/>
  <c r="T20" i="7"/>
  <c r="R21" i="7"/>
  <c r="A26" i="12" l="1" a="1"/>
  <c r="F26" i="12"/>
  <c r="A29" i="12"/>
  <c r="E31" i="12"/>
  <c r="A26" i="12"/>
  <c r="D31" i="12"/>
  <c r="C27" i="12"/>
  <c r="B26" i="12"/>
  <c r="C26" i="12"/>
  <c r="F27" i="12"/>
  <c r="C32" i="12"/>
  <c r="F28" i="12"/>
  <c r="A31" i="12"/>
  <c r="D30" i="12"/>
  <c r="B31" i="12"/>
  <c r="C28" i="12"/>
  <c r="H3" i="12" s="1" a="1"/>
  <c r="F31" i="12"/>
  <c r="M31" i="12" s="1"/>
  <c r="E29" i="12"/>
  <c r="G31" i="12"/>
  <c r="D28" i="12"/>
  <c r="E27" i="12"/>
  <c r="G30" i="12"/>
  <c r="B30" i="12"/>
  <c r="G27" i="12"/>
  <c r="B28" i="12"/>
  <c r="C29" i="12"/>
  <c r="G26" i="12"/>
  <c r="E30" i="12"/>
  <c r="D27" i="12"/>
  <c r="F29" i="12"/>
  <c r="F30" i="12"/>
  <c r="A32" i="12"/>
  <c r="A30" i="12"/>
  <c r="D26" i="12"/>
  <c r="A28" i="12"/>
  <c r="E32" i="12"/>
  <c r="E26" i="12"/>
  <c r="G28" i="12"/>
  <c r="F32" i="12"/>
  <c r="M32" i="12" s="1"/>
  <c r="B27" i="12"/>
  <c r="B29" i="12"/>
  <c r="B32" i="12"/>
  <c r="G29" i="12"/>
  <c r="E28" i="12"/>
  <c r="D32" i="12"/>
  <c r="C30" i="12"/>
  <c r="A27" i="12"/>
  <c r="C31" i="12"/>
  <c r="G32" i="12"/>
  <c r="N32" i="12" s="1"/>
  <c r="D29" i="12"/>
  <c r="N31" i="12"/>
  <c r="U32" i="12" l="1"/>
  <c r="AB32" i="12"/>
  <c r="T31" i="12"/>
  <c r="O3" i="12" a="1"/>
  <c r="U31" i="12"/>
  <c r="AB31" i="12"/>
  <c r="AA31" i="12"/>
  <c r="L3" i="12"/>
  <c r="J6" i="12"/>
  <c r="M8" i="12"/>
  <c r="H11" i="12"/>
  <c r="J13" i="12"/>
  <c r="M3" i="12"/>
  <c r="K6" i="12"/>
  <c r="N8" i="12"/>
  <c r="I11" i="12"/>
  <c r="K13" i="12"/>
  <c r="I13" i="12"/>
  <c r="N3" i="12"/>
  <c r="L6" i="12"/>
  <c r="H9" i="12"/>
  <c r="J11" i="12"/>
  <c r="M13" i="12"/>
  <c r="I4" i="12"/>
  <c r="M6" i="12"/>
  <c r="I9" i="12"/>
  <c r="K11" i="12"/>
  <c r="N13" i="12"/>
  <c r="J4" i="12"/>
  <c r="N6" i="12"/>
  <c r="J9" i="12"/>
  <c r="L11" i="12"/>
  <c r="H14" i="12"/>
  <c r="K4" i="12"/>
  <c r="I7" i="12"/>
  <c r="K9" i="12"/>
  <c r="M11" i="12"/>
  <c r="I14" i="12"/>
  <c r="L4" i="12"/>
  <c r="J7" i="12"/>
  <c r="L9" i="12"/>
  <c r="N11" i="12"/>
  <c r="J14" i="12"/>
  <c r="J3" i="12"/>
  <c r="L13" i="12"/>
  <c r="M4" i="12"/>
  <c r="K7" i="12"/>
  <c r="M9" i="12"/>
  <c r="H12" i="12"/>
  <c r="K14" i="12"/>
  <c r="L8" i="12"/>
  <c r="H3" i="12"/>
  <c r="N4" i="12"/>
  <c r="L7" i="12"/>
  <c r="N9" i="12"/>
  <c r="I12" i="12"/>
  <c r="L14" i="12"/>
  <c r="H4" i="12"/>
  <c r="I5" i="12"/>
  <c r="M7" i="12"/>
  <c r="H10" i="12"/>
  <c r="J12" i="12"/>
  <c r="M14" i="12"/>
  <c r="M10" i="12"/>
  <c r="H5" i="12"/>
  <c r="J5" i="12"/>
  <c r="N7" i="12"/>
  <c r="I10" i="12"/>
  <c r="K12" i="12"/>
  <c r="N14" i="12"/>
  <c r="H13" i="12"/>
  <c r="H6" i="12"/>
  <c r="K5" i="12"/>
  <c r="H8" i="12"/>
  <c r="J10" i="12"/>
  <c r="L12" i="12"/>
  <c r="K8" i="12"/>
  <c r="I6" i="12"/>
  <c r="H7" i="12"/>
  <c r="L5" i="12"/>
  <c r="I8" i="12"/>
  <c r="K10" i="12"/>
  <c r="M12" i="12"/>
  <c r="K3" i="12"/>
  <c r="I3" i="12"/>
  <c r="M5" i="12"/>
  <c r="J8" i="12"/>
  <c r="L10" i="12"/>
  <c r="N12" i="12"/>
  <c r="N5" i="12"/>
  <c r="N10" i="12"/>
  <c r="AA32" i="12"/>
  <c r="T32" i="12"/>
  <c r="P7" i="12" l="1"/>
  <c r="S4" i="12"/>
  <c r="R14" i="12"/>
  <c r="T13" i="12"/>
  <c r="U14" i="12"/>
  <c r="O6" i="12"/>
  <c r="T3" i="12"/>
  <c r="Q13" i="12"/>
  <c r="S12" i="12"/>
  <c r="O5" i="12"/>
  <c r="P6" i="12"/>
  <c r="Q7" i="12"/>
  <c r="U7" i="12"/>
  <c r="P12" i="12"/>
  <c r="R11" i="12"/>
  <c r="P4" i="12"/>
  <c r="Q5" i="12"/>
  <c r="R4" i="12"/>
  <c r="T9" i="12"/>
  <c r="O3" i="12"/>
  <c r="R6" i="12"/>
  <c r="P13" i="12"/>
  <c r="S7" i="12"/>
  <c r="T6" i="12"/>
  <c r="O11" i="12"/>
  <c r="Q10" i="12"/>
  <c r="U13" i="12"/>
  <c r="Q3" i="12"/>
  <c r="O8" i="12"/>
  <c r="S5" i="12"/>
  <c r="Q14" i="12"/>
  <c r="P9" i="12"/>
  <c r="T12" i="12"/>
  <c r="U10" i="12"/>
  <c r="S3" i="12"/>
  <c r="S11" i="12"/>
  <c r="U12" i="12"/>
  <c r="O12" i="12"/>
  <c r="T14" i="12"/>
  <c r="R10" i="12"/>
  <c r="S8" i="12"/>
  <c r="O13" i="12"/>
  <c r="R3" i="12"/>
  <c r="S9" i="12"/>
  <c r="Q12" i="12"/>
  <c r="P14" i="12"/>
  <c r="R12" i="12"/>
  <c r="S13" i="12"/>
  <c r="Q9" i="12"/>
  <c r="R7" i="12"/>
  <c r="O14" i="12"/>
  <c r="P10" i="12"/>
  <c r="U3" i="12"/>
  <c r="P11" i="12"/>
  <c r="Q11" i="12"/>
  <c r="O7" i="12"/>
  <c r="P8" i="12"/>
  <c r="Q6" i="12"/>
  <c r="Q4" i="12"/>
  <c r="O9" i="12"/>
  <c r="S10" i="12"/>
  <c r="Q8" i="12"/>
  <c r="T5" i="12"/>
  <c r="T11" i="12"/>
  <c r="O4" i="12"/>
  <c r="P5" i="12"/>
  <c r="T7" i="12"/>
  <c r="U4" i="12"/>
  <c r="R9" i="12"/>
  <c r="U11" i="12"/>
  <c r="U5" i="12"/>
  <c r="T4" i="12"/>
  <c r="P3" i="12"/>
  <c r="U8" i="12"/>
  <c r="R5" i="12"/>
  <c r="S14" i="12"/>
  <c r="T10" i="12"/>
  <c r="S6" i="12"/>
  <c r="U9" i="12"/>
  <c r="U6" i="12"/>
  <c r="R8" i="12"/>
  <c r="O10" i="12"/>
  <c r="R13" i="12"/>
  <c r="T8" i="12"/>
  <c r="H17" i="12" a="1"/>
  <c r="AC3" i="12" a="1"/>
  <c r="V3" i="12" a="1"/>
  <c r="AE3" i="12" l="1"/>
  <c r="AI13" i="12"/>
  <c r="AH7" i="12"/>
  <c r="AI5" i="12"/>
  <c r="AG9" i="12"/>
  <c r="AF10" i="12"/>
  <c r="AD6" i="12"/>
  <c r="AC5" i="12"/>
  <c r="AG6" i="12"/>
  <c r="AE9" i="12"/>
  <c r="AH12" i="12"/>
  <c r="AE11" i="12"/>
  <c r="AI4" i="12"/>
  <c r="AC14" i="12"/>
  <c r="AC13" i="12"/>
  <c r="AF5" i="12"/>
  <c r="AH3" i="12"/>
  <c r="AG14" i="12"/>
  <c r="AC9" i="12"/>
  <c r="AD10" i="12"/>
  <c r="AF8" i="12"/>
  <c r="AF13" i="12"/>
  <c r="AD8" i="12"/>
  <c r="AH4" i="12"/>
  <c r="AE12" i="12"/>
  <c r="AC7" i="12"/>
  <c r="AG8" i="12"/>
  <c r="AH9" i="12"/>
  <c r="AI10" i="12"/>
  <c r="AI8" i="12"/>
  <c r="AE5" i="12"/>
  <c r="AC6" i="12"/>
  <c r="AF4" i="12"/>
  <c r="AG3" i="12"/>
  <c r="AD11" i="12"/>
  <c r="AI14" i="12"/>
  <c r="AF7" i="12"/>
  <c r="AI9" i="12"/>
  <c r="AD3" i="12"/>
  <c r="AE4" i="12"/>
  <c r="AC11" i="12"/>
  <c r="AF3" i="12"/>
  <c r="AE14" i="12"/>
  <c r="AE8" i="12"/>
  <c r="AC10" i="12"/>
  <c r="AH13" i="12"/>
  <c r="AE6" i="12"/>
  <c r="AH8" i="12"/>
  <c r="AD12" i="12"/>
  <c r="AF14" i="12"/>
  <c r="AG12" i="12"/>
  <c r="AD5" i="12"/>
  <c r="AG7" i="12"/>
  <c r="AG4" i="12"/>
  <c r="AE10" i="12"/>
  <c r="AI3" i="12"/>
  <c r="AH10" i="12"/>
  <c r="AC12" i="12"/>
  <c r="AE13" i="12"/>
  <c r="AF11" i="12"/>
  <c r="AC4" i="12"/>
  <c r="AF6" i="12"/>
  <c r="AH5" i="12"/>
  <c r="AI12" i="12"/>
  <c r="AH14" i="12"/>
  <c r="AI11" i="12"/>
  <c r="AG5" i="12"/>
  <c r="AE7" i="12"/>
  <c r="AD14" i="12"/>
  <c r="AC8" i="12"/>
  <c r="AD9" i="12"/>
  <c r="AH11" i="12"/>
  <c r="AD4" i="12"/>
  <c r="AI6" i="12"/>
  <c r="AH6" i="12"/>
  <c r="AG11" i="12"/>
  <c r="AF9" i="12"/>
  <c r="AG10" i="12"/>
  <c r="AC3" i="12"/>
  <c r="AI7" i="12"/>
  <c r="AG13" i="12"/>
  <c r="AD7" i="12"/>
  <c r="AD13" i="12"/>
  <c r="AF12" i="12"/>
  <c r="X12" i="12"/>
  <c r="Z7" i="12"/>
  <c r="Y3" i="12"/>
  <c r="AA7" i="12"/>
  <c r="W11" i="12"/>
  <c r="Z14" i="12"/>
  <c r="AA13" i="12"/>
  <c r="Z13" i="12"/>
  <c r="AA3" i="12"/>
  <c r="AB7" i="12"/>
  <c r="X11" i="12"/>
  <c r="AA14" i="12"/>
  <c r="AB4" i="12"/>
  <c r="V13" i="12"/>
  <c r="X8" i="12"/>
  <c r="Y11" i="12"/>
  <c r="AB11" i="12"/>
  <c r="AA9" i="12"/>
  <c r="AB3" i="12"/>
  <c r="AB14" i="12"/>
  <c r="V12" i="12"/>
  <c r="W6" i="12"/>
  <c r="V10" i="12"/>
  <c r="W4" i="12"/>
  <c r="Y8" i="12"/>
  <c r="Z11" i="12"/>
  <c r="Y13" i="12"/>
  <c r="Y6" i="12"/>
  <c r="V5" i="12"/>
  <c r="X4" i="12"/>
  <c r="Z8" i="12"/>
  <c r="AA11" i="12"/>
  <c r="Y4" i="12"/>
  <c r="Y7" i="12"/>
  <c r="AA8" i="12"/>
  <c r="AA12" i="12"/>
  <c r="Z3" i="12"/>
  <c r="X7" i="12"/>
  <c r="W5" i="12"/>
  <c r="X9" i="12"/>
  <c r="Y12" i="12"/>
  <c r="Z4" i="12"/>
  <c r="Z6" i="12"/>
  <c r="V11" i="12"/>
  <c r="W8" i="12"/>
  <c r="AA6" i="12"/>
  <c r="Y5" i="12"/>
  <c r="Y9" i="12"/>
  <c r="Z12" i="12"/>
  <c r="V7" i="12"/>
  <c r="Z10" i="12"/>
  <c r="AB10" i="12"/>
  <c r="AB8" i="12"/>
  <c r="AA4" i="12"/>
  <c r="Z5" i="12"/>
  <c r="Z9" i="12"/>
  <c r="AB12" i="12"/>
  <c r="X6" i="12"/>
  <c r="W9" i="12"/>
  <c r="V3" i="12"/>
  <c r="AA5" i="12"/>
  <c r="W10" i="12"/>
  <c r="W13" i="12"/>
  <c r="X5" i="12"/>
  <c r="W3" i="12"/>
  <c r="W7" i="12"/>
  <c r="X3" i="12"/>
  <c r="V6" i="12"/>
  <c r="V4" i="12"/>
  <c r="AB5" i="12"/>
  <c r="X10" i="12"/>
  <c r="X13" i="12"/>
  <c r="AB13" i="12"/>
  <c r="Y10" i="12"/>
  <c r="V14" i="12"/>
  <c r="W12" i="12"/>
  <c r="V8" i="12"/>
  <c r="AB9" i="12"/>
  <c r="V9" i="12"/>
  <c r="AB6" i="12"/>
  <c r="AA10" i="12"/>
  <c r="W14" i="12"/>
  <c r="X14" i="12"/>
  <c r="Y14" i="12"/>
  <c r="J21" i="12"/>
  <c r="J17" i="12"/>
  <c r="H18" i="12"/>
  <c r="K18" i="12"/>
  <c r="M20" i="12"/>
  <c r="H23" i="12"/>
  <c r="N17" i="12"/>
  <c r="N18" i="12"/>
  <c r="I21" i="12"/>
  <c r="K22" i="12"/>
  <c r="J19" i="12"/>
  <c r="N23" i="12"/>
  <c r="K23" i="12"/>
  <c r="M17" i="12"/>
  <c r="I19" i="12"/>
  <c r="L20" i="12"/>
  <c r="H19" i="12"/>
  <c r="L22" i="12"/>
  <c r="L17" i="12"/>
  <c r="K19" i="12"/>
  <c r="L23" i="12"/>
  <c r="M18" i="12"/>
  <c r="J23" i="12"/>
  <c r="K21" i="12"/>
  <c r="J18" i="12"/>
  <c r="N19" i="12"/>
  <c r="K20" i="12"/>
  <c r="H21" i="12"/>
  <c r="L21" i="12"/>
  <c r="M19" i="12"/>
  <c r="M21" i="12"/>
  <c r="J22" i="12"/>
  <c r="L19" i="12"/>
  <c r="I22" i="12"/>
  <c r="H20" i="12"/>
  <c r="L18" i="12"/>
  <c r="M23" i="12"/>
  <c r="I17" i="12"/>
  <c r="N21" i="12"/>
  <c r="I20" i="12"/>
  <c r="N20" i="12"/>
  <c r="K17" i="12"/>
  <c r="M22" i="12"/>
  <c r="H22" i="12"/>
  <c r="I18" i="12"/>
  <c r="J20" i="12"/>
  <c r="N22" i="12"/>
  <c r="H17" i="12"/>
  <c r="I23" i="12"/>
  <c r="O17" i="12" a="1"/>
  <c r="Q23" i="12" l="1"/>
  <c r="R19" i="12"/>
  <c r="U19" i="12"/>
  <c r="U22" i="12"/>
  <c r="P22" i="12"/>
  <c r="U18" i="12"/>
  <c r="Q21" i="12"/>
  <c r="R18" i="12"/>
  <c r="T21" i="12"/>
  <c r="P21" i="12"/>
  <c r="Q18" i="12"/>
  <c r="U20" i="12"/>
  <c r="O23" i="12"/>
  <c r="Q17" i="12"/>
  <c r="S20" i="12"/>
  <c r="Q20" i="12"/>
  <c r="S19" i="12"/>
  <c r="R20" i="12"/>
  <c r="Q19" i="12"/>
  <c r="O18" i="12"/>
  <c r="T20" i="12"/>
  <c r="T22" i="12"/>
  <c r="U23" i="12"/>
  <c r="R22" i="12"/>
  <c r="Q22" i="12"/>
  <c r="O22" i="12"/>
  <c r="O21" i="12"/>
  <c r="T18" i="12"/>
  <c r="P20" i="12"/>
  <c r="S22" i="12"/>
  <c r="O20" i="12"/>
  <c r="O19" i="12"/>
  <c r="T19" i="12"/>
  <c r="P23" i="12"/>
  <c r="P17" i="12"/>
  <c r="P18" i="12"/>
  <c r="S21" i="12"/>
  <c r="U21" i="12"/>
  <c r="S23" i="12"/>
  <c r="R23" i="12"/>
  <c r="R21" i="12"/>
  <c r="T17" i="12"/>
  <c r="R17" i="12"/>
  <c r="U17" i="12"/>
  <c r="S17" i="12"/>
  <c r="T23" i="12"/>
  <c r="S18" i="12"/>
  <c r="O17" i="12"/>
  <c r="P19" i="12"/>
  <c r="V17" i="12" a="1"/>
  <c r="AC17" i="12" a="1"/>
  <c r="AF23" i="12" l="1"/>
  <c r="AD19" i="12"/>
  <c r="AG22" i="12"/>
  <c r="AI18" i="12"/>
  <c r="AH21" i="12"/>
  <c r="AC17" i="12"/>
  <c r="AE19" i="12"/>
  <c r="AG19" i="12"/>
  <c r="AI22" i="12"/>
  <c r="AE20" i="12"/>
  <c r="AC20" i="12"/>
  <c r="AD21" i="12"/>
  <c r="AE18" i="12"/>
  <c r="AD22" i="12"/>
  <c r="AH17" i="12"/>
  <c r="AH20" i="12"/>
  <c r="AF21" i="12"/>
  <c r="AE17" i="12"/>
  <c r="AE22" i="12"/>
  <c r="AF22" i="12"/>
  <c r="AG21" i="12"/>
  <c r="AD17" i="12"/>
  <c r="AI19" i="12"/>
  <c r="AC18" i="12"/>
  <c r="AD18" i="12"/>
  <c r="AH22" i="12"/>
  <c r="AG23" i="12"/>
  <c r="AD20" i="12"/>
  <c r="AH19" i="12"/>
  <c r="AI17" i="12"/>
  <c r="AI23" i="12"/>
  <c r="AE21" i="12"/>
  <c r="AF18" i="12"/>
  <c r="AC22" i="12"/>
  <c r="AC23" i="12"/>
  <c r="AH23" i="12"/>
  <c r="AF19" i="12"/>
  <c r="AF20" i="12"/>
  <c r="AG18" i="12"/>
  <c r="AH18" i="12"/>
  <c r="AI20" i="12"/>
  <c r="AC21" i="12"/>
  <c r="AG20" i="12"/>
  <c r="AG17" i="12"/>
  <c r="AF17" i="12"/>
  <c r="AD23" i="12"/>
  <c r="AE23" i="12"/>
  <c r="AC19" i="12"/>
  <c r="AI21" i="12"/>
  <c r="AA17" i="12"/>
  <c r="V19" i="12"/>
  <c r="Y21" i="12"/>
  <c r="X20" i="12"/>
  <c r="Y17" i="12"/>
  <c r="Z18" i="12"/>
  <c r="W23" i="12"/>
  <c r="X19" i="12"/>
  <c r="AA22" i="12"/>
  <c r="W19" i="12"/>
  <c r="V23" i="12"/>
  <c r="AA21" i="12"/>
  <c r="Z21" i="12"/>
  <c r="X23" i="12"/>
  <c r="AB19" i="12"/>
  <c r="W22" i="12"/>
  <c r="Y20" i="12"/>
  <c r="Z23" i="12"/>
  <c r="X18" i="12"/>
  <c r="AA20" i="12"/>
  <c r="AB18" i="12"/>
  <c r="Y23" i="12"/>
  <c r="Y19" i="12"/>
  <c r="Z19" i="12"/>
  <c r="AA19" i="12"/>
  <c r="V21" i="12"/>
  <c r="X17" i="12"/>
  <c r="W21" i="12"/>
  <c r="V17" i="12"/>
  <c r="V22" i="12"/>
  <c r="AA18" i="12"/>
  <c r="AB21" i="12"/>
  <c r="AA23" i="12"/>
  <c r="AB20" i="12"/>
  <c r="V18" i="12"/>
  <c r="Y18" i="12"/>
  <c r="Z20" i="12"/>
  <c r="AB17" i="12"/>
  <c r="X22" i="12"/>
  <c r="Y22" i="12"/>
  <c r="AB23" i="12"/>
  <c r="Z17" i="12"/>
  <c r="X21" i="12"/>
  <c r="W18" i="12"/>
  <c r="W17" i="12"/>
  <c r="W20" i="12"/>
  <c r="V20" i="12"/>
  <c r="Z22" i="12"/>
  <c r="AB22" i="12"/>
  <c r="U3" i="19" a="1"/>
  <c r="O3" i="19" a="1"/>
  <c r="U4" i="19"/>
  <c r="O5" i="19"/>
  <c r="U3" i="19"/>
  <c r="U5" i="19"/>
  <c r="U6" i="19"/>
  <c r="O8" i="19"/>
  <c r="O3" i="19"/>
  <c r="O6" i="19"/>
  <c r="O10" i="19"/>
  <c r="O4" i="19"/>
  <c r="O9" i="19"/>
  <c r="O7" i="19"/>
  <c r="AE25" i="21" a="1"/>
  <c r="AE25" i="21"/>
  <c r="AE28" i="21"/>
  <c r="AE26" i="21"/>
  <c r="AE27" i="21"/>
  <c r="X3" i="21" a="1"/>
  <c r="X12" i="21" s="1"/>
  <c r="X10" i="21" l="1"/>
  <c r="X7" i="21"/>
  <c r="AB25" i="21" a="1"/>
  <c r="AB26" i="21" s="1"/>
  <c r="X4" i="21"/>
  <c r="X15" i="21"/>
  <c r="X5" i="21"/>
  <c r="X13" i="21"/>
  <c r="X16" i="21"/>
  <c r="X3" i="21"/>
  <c r="X8" i="21"/>
  <c r="X6" i="21"/>
  <c r="X17" i="21"/>
  <c r="X14" i="21"/>
  <c r="X11" i="21"/>
  <c r="X18" i="21"/>
  <c r="X9" i="21"/>
  <c r="AB25" i="21" l="1"/>
  <c r="AB27" i="21"/>
  <c r="B46" i="21" s="1"/>
  <c r="D46" i="21" s="1"/>
  <c r="E46" i="21" s="1"/>
  <c r="F46" i="21" s="1"/>
  <c r="AB28" i="21"/>
  <c r="B47" i="21" s="1"/>
  <c r="D47" i="21" s="1"/>
  <c r="E47" i="21" s="1"/>
  <c r="F47" i="21" s="1"/>
  <c r="AD28" i="21"/>
  <c r="AD26" i="21"/>
  <c r="B45" i="21"/>
  <c r="D45" i="21" s="1"/>
  <c r="E45" i="21" s="1"/>
  <c r="F45" i="21" s="1"/>
  <c r="AD27" i="21" l="1"/>
  <c r="AC37" i="21" s="1"/>
  <c r="AD25" i="21"/>
  <c r="X33" i="21" s="1"/>
  <c r="AA35" i="21"/>
  <c r="Y34" i="21"/>
  <c r="Z34" i="21"/>
  <c r="Z35" i="21"/>
  <c r="Z36" i="21"/>
  <c r="AA34" i="21"/>
  <c r="Y36" i="21"/>
  <c r="AA36" i="21"/>
  <c r="Y35" i="21"/>
  <c r="AD38" i="21"/>
  <c r="AC38" i="21"/>
  <c r="AB37" i="21"/>
  <c r="AC39" i="21"/>
  <c r="AG42" i="21"/>
  <c r="AF41" i="21"/>
  <c r="AF40" i="21"/>
  <c r="AE40" i="21"/>
  <c r="AE41" i="21"/>
  <c r="AF42" i="21"/>
  <c r="AG40" i="21"/>
  <c r="AG41" i="21"/>
  <c r="AE42" i="21"/>
  <c r="AB39" i="21" l="1"/>
  <c r="AB38" i="21"/>
  <c r="AD37" i="21"/>
  <c r="Z20" i="21" s="1" a="1"/>
  <c r="Z24" i="21" s="1"/>
  <c r="H48" i="21" s="1"/>
  <c r="AD39" i="21"/>
  <c r="M3" i="21" l="1" a="1"/>
  <c r="Q10" i="21" s="1"/>
  <c r="Z21" i="21"/>
  <c r="H45" i="21" s="1"/>
  <c r="I45" i="21" s="1"/>
  <c r="J45" i="21" s="1"/>
  <c r="Z26" i="21"/>
  <c r="H50" i="21" s="1"/>
  <c r="I50" i="21" s="1"/>
  <c r="J50" i="21" s="1"/>
  <c r="Z23" i="21"/>
  <c r="H47" i="21" s="1"/>
  <c r="I47" i="21" s="1"/>
  <c r="J47" i="21" s="1"/>
  <c r="Z25" i="21"/>
  <c r="H49" i="21" s="1"/>
  <c r="I49" i="21" s="1"/>
  <c r="J49" i="21" s="1"/>
  <c r="Z22" i="21"/>
  <c r="H46" i="21" s="1"/>
  <c r="I46" i="21" s="1"/>
  <c r="J46" i="21" s="1"/>
  <c r="Z28" i="21"/>
  <c r="H52" i="21" s="1"/>
  <c r="I52" i="21" s="1"/>
  <c r="J52" i="21" s="1"/>
  <c r="Z20" i="21"/>
  <c r="Z27" i="21"/>
  <c r="H51" i="21" s="1"/>
  <c r="I51" i="21" s="1"/>
  <c r="J51" i="21" s="1"/>
  <c r="Z29" i="21"/>
  <c r="H53" i="21" s="1"/>
  <c r="I53" i="21" s="1"/>
  <c r="J53" i="21" s="1"/>
  <c r="I48" i="21"/>
  <c r="J48" i="21" s="1"/>
  <c r="U17" i="21" l="1"/>
  <c r="T5" i="21"/>
  <c r="R9" i="21"/>
  <c r="O12" i="21"/>
  <c r="S18" i="21"/>
  <c r="P5" i="21"/>
  <c r="M10" i="21"/>
  <c r="O17" i="21"/>
  <c r="T14" i="21"/>
  <c r="M8" i="21"/>
  <c r="U18" i="21"/>
  <c r="O13" i="21"/>
  <c r="M4" i="21"/>
  <c r="N9" i="21"/>
  <c r="M6" i="21"/>
  <c r="Q12" i="21"/>
  <c r="P8" i="21"/>
  <c r="R17" i="21"/>
  <c r="N10" i="21"/>
  <c r="R8" i="21"/>
  <c r="O3" i="21"/>
  <c r="Q16" i="21"/>
  <c r="S8" i="21"/>
  <c r="N11" i="21"/>
  <c r="M14" i="21"/>
  <c r="U3" i="21"/>
  <c r="O14" i="21"/>
  <c r="U8" i="21"/>
  <c r="T4" i="21"/>
  <c r="P12" i="21"/>
  <c r="R13" i="21"/>
  <c r="V15" i="21"/>
  <c r="V10" i="21"/>
  <c r="V8" i="21"/>
  <c r="V4" i="21"/>
  <c r="S9" i="21"/>
  <c r="U4" i="21"/>
  <c r="R15" i="21"/>
  <c r="R12" i="21"/>
  <c r="V3" i="21"/>
  <c r="N3" i="21"/>
  <c r="U7" i="21"/>
  <c r="M5" i="21"/>
  <c r="N18" i="21"/>
  <c r="M16" i="21"/>
  <c r="Q11" i="21"/>
  <c r="Q5" i="21"/>
  <c r="M11" i="21"/>
  <c r="M13" i="21"/>
  <c r="U9" i="21"/>
  <c r="T13" i="21"/>
  <c r="N5" i="21"/>
  <c r="T9" i="21"/>
  <c r="T3" i="21"/>
  <c r="M18" i="21"/>
  <c r="P16" i="21"/>
  <c r="U15" i="21"/>
  <c r="P18" i="21"/>
  <c r="R3" i="21"/>
  <c r="Q6" i="21"/>
  <c r="S10" i="21"/>
  <c r="N6" i="21"/>
  <c r="Q4" i="21"/>
  <c r="U13" i="21"/>
  <c r="R5" i="21"/>
  <c r="Q8" i="21"/>
  <c r="O18" i="21"/>
  <c r="Q17" i="21"/>
  <c r="P14" i="21"/>
  <c r="V9" i="21"/>
  <c r="Q14" i="21"/>
  <c r="S14" i="21"/>
  <c r="P6" i="21"/>
  <c r="V17" i="21"/>
  <c r="V12" i="21"/>
  <c r="T17" i="21"/>
  <c r="R11" i="21"/>
  <c r="O7" i="21"/>
  <c r="U14" i="21"/>
  <c r="P9" i="21"/>
  <c r="S16" i="21"/>
  <c r="V6" i="21"/>
  <c r="M9" i="21"/>
  <c r="Q7" i="21"/>
  <c r="T18" i="21"/>
  <c r="P7" i="21"/>
  <c r="U5" i="21"/>
  <c r="R7" i="21"/>
  <c r="R10" i="21"/>
  <c r="P13" i="21"/>
  <c r="N4" i="21"/>
  <c r="T10" i="21"/>
  <c r="Q18" i="21"/>
  <c r="Q15" i="21"/>
  <c r="T8" i="21"/>
  <c r="P4" i="21"/>
  <c r="S5" i="21"/>
  <c r="V13" i="21"/>
  <c r="M15" i="21"/>
  <c r="O10" i="21"/>
  <c r="O11" i="21"/>
  <c r="R16" i="21"/>
  <c r="N15" i="21"/>
  <c r="P3" i="21"/>
  <c r="R18" i="21"/>
  <c r="V16" i="21"/>
  <c r="U6" i="21"/>
  <c r="N16" i="21"/>
  <c r="M3" i="21"/>
  <c r="O6" i="21"/>
  <c r="N8" i="21"/>
  <c r="S12" i="21"/>
  <c r="V18" i="21"/>
  <c r="U11" i="21"/>
  <c r="O16" i="21"/>
  <c r="R4" i="21"/>
  <c r="T11" i="21"/>
  <c r="O8" i="21"/>
  <c r="M7" i="21"/>
  <c r="S6" i="21"/>
  <c r="Q9" i="21"/>
  <c r="O9" i="21"/>
  <c r="U16" i="21"/>
  <c r="M12" i="21"/>
  <c r="N12" i="21"/>
  <c r="O5" i="21"/>
  <c r="O15" i="21"/>
  <c r="S15" i="21"/>
  <c r="N13" i="21"/>
  <c r="S13" i="21"/>
  <c r="P11" i="21"/>
  <c r="T16" i="21"/>
  <c r="T6" i="21"/>
  <c r="S4" i="21"/>
  <c r="R6" i="21"/>
  <c r="N17" i="21"/>
  <c r="S7" i="21"/>
  <c r="U12" i="21"/>
  <c r="T12" i="21"/>
  <c r="R14" i="21"/>
  <c r="V7" i="21"/>
  <c r="S11" i="21"/>
  <c r="U10" i="21"/>
  <c r="S3" i="21"/>
  <c r="V5" i="21"/>
  <c r="N14" i="21"/>
  <c r="S17" i="21"/>
  <c r="P15" i="21"/>
  <c r="T15" i="21"/>
  <c r="Q3" i="21"/>
  <c r="Q13" i="21"/>
  <c r="T7" i="21"/>
  <c r="V14" i="21"/>
  <c r="M17" i="21"/>
  <c r="P17" i="21"/>
  <c r="V11" i="21"/>
  <c r="N7" i="21"/>
  <c r="P10" i="21"/>
  <c r="O4" i="21"/>
  <c r="G45" i="21"/>
  <c r="G48" i="21"/>
  <c r="G51" i="21"/>
  <c r="Z3" i="21" l="1" a="1"/>
  <c r="M21" i="21" a="1"/>
  <c r="N28" i="21" s="1"/>
  <c r="Z7" i="21"/>
  <c r="Z5" i="21"/>
  <c r="Z9" i="21"/>
  <c r="Z14" i="21"/>
  <c r="Z4" i="21"/>
  <c r="Z18" i="21"/>
  <c r="Z16" i="21"/>
  <c r="Z13" i="21"/>
  <c r="Z6" i="21"/>
  <c r="Z3" i="21"/>
  <c r="Z10" i="21"/>
  <c r="Z17" i="21"/>
  <c r="Z8" i="21"/>
  <c r="Z15" i="21"/>
  <c r="Z11" i="21"/>
  <c r="Z12" i="21"/>
  <c r="J3" i="25" a="1"/>
  <c r="O27" i="21" l="1"/>
  <c r="V23" i="21"/>
  <c r="S30" i="21"/>
  <c r="V21" i="21"/>
  <c r="R24" i="21"/>
  <c r="O28" i="21"/>
  <c r="U30" i="21"/>
  <c r="N24" i="21"/>
  <c r="T26" i="21"/>
  <c r="M24" i="21"/>
  <c r="V29" i="21"/>
  <c r="S28" i="21"/>
  <c r="M26" i="21"/>
  <c r="S22" i="21"/>
  <c r="P22" i="21"/>
  <c r="V22" i="21"/>
  <c r="P25" i="21"/>
  <c r="Q24" i="21"/>
  <c r="U25" i="21"/>
  <c r="S21" i="21"/>
  <c r="N23" i="21"/>
  <c r="R23" i="21"/>
  <c r="V27" i="21"/>
  <c r="M21" i="21"/>
  <c r="S23" i="21"/>
  <c r="T29" i="21"/>
  <c r="N30" i="21"/>
  <c r="Q23" i="21"/>
  <c r="T23" i="21"/>
  <c r="P27" i="21"/>
  <c r="R30" i="21"/>
  <c r="O22" i="21"/>
  <c r="T24" i="21"/>
  <c r="U28" i="21"/>
  <c r="V26" i="21"/>
  <c r="T28" i="21"/>
  <c r="V28" i="21"/>
  <c r="U26" i="21"/>
  <c r="R22" i="21"/>
  <c r="M28" i="21"/>
  <c r="O25" i="21"/>
  <c r="O30" i="21"/>
  <c r="V30" i="21"/>
  <c r="V25" i="21"/>
  <c r="O26" i="21"/>
  <c r="U27" i="21"/>
  <c r="M22" i="21"/>
  <c r="U29" i="21"/>
  <c r="N21" i="21"/>
  <c r="N26" i="21"/>
  <c r="R25" i="21"/>
  <c r="N22" i="21"/>
  <c r="Q22" i="21"/>
  <c r="N27" i="21"/>
  <c r="U24" i="21"/>
  <c r="P26" i="21"/>
  <c r="O24" i="21"/>
  <c r="P21" i="21"/>
  <c r="U23" i="21"/>
  <c r="Q27" i="21"/>
  <c r="R28" i="21"/>
  <c r="O23" i="21"/>
  <c r="T22" i="21"/>
  <c r="S26" i="21"/>
  <c r="M23" i="21"/>
  <c r="P23" i="21"/>
  <c r="S24" i="21"/>
  <c r="R29" i="21"/>
  <c r="P29" i="21"/>
  <c r="R26" i="21"/>
  <c r="P30" i="21"/>
  <c r="S29" i="21"/>
  <c r="Q29" i="21"/>
  <c r="T21" i="21"/>
  <c r="P28" i="21"/>
  <c r="P24" i="21"/>
  <c r="Q30" i="21"/>
  <c r="V24" i="21"/>
  <c r="S27" i="21"/>
  <c r="O29" i="21"/>
  <c r="T25" i="21"/>
  <c r="S25" i="21"/>
  <c r="U21" i="21"/>
  <c r="N25" i="21"/>
  <c r="T30" i="21"/>
  <c r="N29" i="21"/>
  <c r="M30" i="21"/>
  <c r="Q25" i="21"/>
  <c r="O21" i="21"/>
  <c r="U22" i="21"/>
  <c r="Q26" i="21"/>
  <c r="M25" i="21"/>
  <c r="M29" i="21"/>
  <c r="T27" i="21"/>
  <c r="R27" i="21"/>
  <c r="R21" i="21"/>
  <c r="Q28" i="21"/>
  <c r="Q21" i="21"/>
  <c r="M27" i="21"/>
  <c r="J3" i="25"/>
  <c r="I3" i="29" a="1"/>
  <c r="I3" i="29"/>
  <c r="I4" i="29"/>
  <c r="I5" i="29"/>
  <c r="I6" i="29"/>
  <c r="D3" i="29" a="1"/>
  <c r="D3" i="29"/>
  <c r="B7" i="30"/>
  <c r="D4" i="29"/>
  <c r="D5" i="29"/>
  <c r="D6" i="29"/>
  <c r="D7" i="29"/>
  <c r="D8" i="29"/>
  <c r="D9" i="29"/>
  <c r="D10" i="29"/>
  <c r="D11" i="29"/>
  <c r="B15" i="29"/>
  <c r="C15" i="29"/>
  <c r="D15" i="29"/>
  <c r="D4" i="30"/>
  <c r="C7" i="30" a="1"/>
  <c r="C7" i="30"/>
  <c r="D7" i="30" s="1"/>
  <c r="E7" i="30" s="1"/>
  <c r="C4" i="30"/>
  <c r="C14" i="29"/>
  <c r="C3" i="30"/>
  <c r="B14" i="29"/>
  <c r="B3" i="30"/>
  <c r="B8" i="30"/>
  <c r="C8" i="30"/>
  <c r="D8" i="30"/>
  <c r="E8" i="30" s="1"/>
  <c r="D14" i="29"/>
  <c r="D3" i="30"/>
  <c r="F5" i="30"/>
  <c r="E14" i="29"/>
  <c r="E3" i="30"/>
  <c r="F14" i="29"/>
  <c r="F3" i="30"/>
  <c r="B4" i="30"/>
  <c r="B10" i="30"/>
  <c r="C10" i="30"/>
  <c r="D10" i="30" s="1"/>
  <c r="E10" i="30" s="1"/>
  <c r="B9" i="30"/>
  <c r="C9" i="30"/>
  <c r="D9" i="30" s="1"/>
  <c r="E9" i="30" s="1"/>
  <c r="L3" i="32" a="1"/>
  <c r="L3" i="32"/>
  <c r="L4" i="32"/>
  <c r="L5" i="32"/>
  <c r="L6" i="32"/>
  <c r="E3" i="32" a="1"/>
  <c r="E4" i="32" s="1"/>
  <c r="F4" i="32" s="1"/>
  <c r="E3" i="32" l="1"/>
  <c r="F3" i="32" s="1"/>
  <c r="E6" i="32"/>
  <c r="F6" i="32" s="1"/>
  <c r="E12" i="32"/>
  <c r="F12" i="32" s="1"/>
  <c r="E11" i="32"/>
  <c r="F11" i="32" s="1"/>
  <c r="E5" i="32"/>
  <c r="F5" i="32" s="1"/>
  <c r="E13" i="32"/>
  <c r="F13" i="32" s="1"/>
  <c r="E7" i="32"/>
  <c r="F7" i="32" s="1"/>
  <c r="E9" i="32"/>
  <c r="F9" i="32" s="1"/>
  <c r="E8" i="32"/>
  <c r="F8" i="32" s="1"/>
  <c r="E10" i="32"/>
  <c r="F10" i="32" s="1"/>
</calcChain>
</file>

<file path=xl/sharedStrings.xml><?xml version="1.0" encoding="utf-8"?>
<sst xmlns="http://schemas.openxmlformats.org/spreadsheetml/2006/main" count="1350" uniqueCount="560">
  <si>
    <t>A</t>
  </si>
  <si>
    <t>B</t>
  </si>
  <si>
    <t>C</t>
  </si>
  <si>
    <t>F</t>
  </si>
  <si>
    <t>K</t>
  </si>
  <si>
    <t>M</t>
  </si>
  <si>
    <t>R</t>
  </si>
  <si>
    <t>T</t>
  </si>
  <si>
    <t>Original and Normalized Data</t>
  </si>
  <si>
    <t>Calculations</t>
  </si>
  <si>
    <t>Pt</t>
  </si>
  <si>
    <t>Elevation</t>
  </si>
  <si>
    <t>Heat Flux</t>
  </si>
  <si>
    <t>Pred. H. Flux</t>
  </si>
  <si>
    <t>X Matrix</t>
  </si>
  <si>
    <t>21-pt X Matrix</t>
  </si>
  <si>
    <r>
      <t>ŷ</t>
    </r>
    <r>
      <rPr>
        <b/>
        <vertAlign val="subscript"/>
        <sz val="12"/>
        <color theme="1"/>
        <rFont val="Times New Roman"/>
        <family val="1"/>
      </rPr>
      <t xml:space="preserve"> </t>
    </r>
  </si>
  <si>
    <t>Confidence and Prediction Limits</t>
  </si>
  <si>
    <t>[m]</t>
  </si>
  <si>
    <t>[%]</t>
  </si>
  <si>
    <r>
      <t>[kW/m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]</t>
    </r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</si>
  <si>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√V</t>
    </r>
    <r>
      <rPr>
        <b/>
        <vertAlign val="subscript"/>
        <sz val="12"/>
        <color theme="1"/>
        <rFont val="Times New Roman"/>
        <family val="1"/>
      </rPr>
      <t>c</t>
    </r>
  </si>
  <si>
    <t>LCL</t>
  </si>
  <si>
    <t>UCL</t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</si>
  <si>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√V</t>
    </r>
    <r>
      <rPr>
        <b/>
        <vertAlign val="subscript"/>
        <sz val="12"/>
        <color theme="1"/>
        <rFont val="Times New Roman"/>
        <family val="1"/>
      </rPr>
      <t>p</t>
    </r>
  </si>
  <si>
    <t>LPL</t>
  </si>
  <si>
    <t>UPL</t>
  </si>
  <si>
    <t>ANOVA</t>
  </si>
  <si>
    <r>
      <rPr>
        <b/>
        <i/>
        <sz val="12"/>
        <color theme="1"/>
        <rFont val="Times New Roman"/>
        <family val="1"/>
      </rPr>
      <t>y</t>
    </r>
    <r>
      <rPr>
        <b/>
        <vertAlign val="subscript"/>
        <sz val="12"/>
        <color theme="1"/>
        <rFont val="Times New Roman"/>
        <family val="1"/>
      </rPr>
      <t>max</t>
    </r>
  </si>
  <si>
    <r>
      <rPr>
        <b/>
        <i/>
        <sz val="12"/>
        <color theme="1"/>
        <rFont val="Times New Roman"/>
        <family val="1"/>
      </rPr>
      <t>z</t>
    </r>
    <r>
      <rPr>
        <b/>
        <vertAlign val="subscript"/>
        <sz val="12"/>
        <color theme="1"/>
        <rFont val="Times New Roman"/>
        <family val="1"/>
      </rPr>
      <t>max</t>
    </r>
    <r>
      <rPr>
        <b/>
        <sz val="12"/>
        <color theme="1"/>
        <rFont val="Times New Roman"/>
        <family val="1"/>
      </rPr>
      <t xml:space="preserve"> Vector</t>
    </r>
  </si>
  <si>
    <t>SS</t>
  </si>
  <si>
    <t>DF</t>
  </si>
  <si>
    <t>MS</t>
  </si>
  <si>
    <t>p</t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</si>
  <si>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y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</si>
  <si>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</t>
    </r>
  </si>
  <si>
    <r>
      <rPr>
        <b/>
        <i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 xml:space="preserve"> =</t>
    </r>
  </si>
  <si>
    <r>
      <t>R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</si>
  <si>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 xml:space="preserve"> =</t>
    </r>
  </si>
  <si>
    <t>a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</si>
  <si>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</si>
  <si>
    <t>stdev.p</t>
  </si>
  <si>
    <t>mean</t>
  </si>
  <si>
    <t>t</t>
  </si>
  <si>
    <t>SE</t>
  </si>
  <si>
    <t>Standard Error Analysis</t>
  </si>
  <si>
    <r>
      <rPr>
        <b/>
        <i/>
        <sz val="12"/>
        <color theme="1"/>
        <rFont val="Times New Roman"/>
        <family val="1"/>
      </rPr>
      <t>R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</si>
  <si>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Term</t>
  </si>
  <si>
    <t>ŷ</t>
  </si>
  <si>
    <t>SO2 [ppm]</t>
  </si>
  <si>
    <t>% Screw</t>
  </si>
  <si>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</si>
  <si>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1"/>
        <rFont val="Calibri"/>
        <family val="2"/>
        <scheme val="minor"/>
      </rP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</t>
    </r>
  </si>
  <si>
    <r>
      <t>R=E</t>
    </r>
    <r>
      <rPr>
        <b/>
        <vertAlign val="subscript"/>
        <sz val="11"/>
        <color theme="1"/>
        <rFont val="Calibri"/>
        <family val="2"/>
        <scheme val="minor"/>
      </rPr>
      <t>SP</t>
    </r>
    <r>
      <rPr>
        <b/>
        <sz val="11"/>
        <color theme="1"/>
        <rFont val="Calibri"/>
        <family val="2"/>
        <scheme val="minor"/>
      </rPr>
      <t>+E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</si>
  <si>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b/>
        <i/>
        <sz val="11"/>
        <color theme="1"/>
        <rFont val="Calibri"/>
        <family val="2"/>
        <scheme val="minor"/>
      </rPr>
      <t>s</t>
    </r>
    <r>
      <rPr>
        <b/>
        <i/>
        <vertAlign val="subscript"/>
        <sz val="11"/>
        <color theme="1"/>
        <rFont val="Calibri"/>
        <family val="2"/>
        <scheme val="minor"/>
      </rPr>
      <t>WP</t>
    </r>
    <r>
      <rPr>
        <b/>
        <sz val="11"/>
        <color theme="1"/>
        <rFont val="Calibri"/>
        <family val="2"/>
        <scheme val="minor"/>
      </rPr>
      <t xml:space="preserve"> =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</si>
  <si>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SP </t>
    </r>
    <r>
      <rPr>
        <b/>
        <sz val="11"/>
        <color theme="1"/>
        <rFont val="Calibri"/>
        <family val="2"/>
        <scheme val="minor"/>
      </rPr>
      <t>+ M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</si>
  <si>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 xml:space="preserve">WP </t>
    </r>
    <r>
      <rPr>
        <b/>
        <sz val="11"/>
        <color theme="1"/>
        <rFont val="Calibri"/>
        <family val="2"/>
        <scheme val="minor"/>
      </rPr>
      <t>= K-M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</si>
  <si>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WP </t>
    </r>
    <r>
      <rPr>
        <sz val="12"/>
        <color theme="1"/>
        <rFont val="Calibri"/>
        <family val="2"/>
        <scheme val="minor"/>
      </rPr>
      <t>/ MSE</t>
    </r>
    <r>
      <rPr>
        <vertAlign val="subscript"/>
        <sz val="11"/>
        <color theme="1"/>
        <rFont val="Calibri"/>
        <family val="2"/>
        <scheme val="minor"/>
      </rPr>
      <t>WP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</si>
  <si>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WP</t>
    </r>
    <r>
      <rPr>
        <b/>
        <sz val="11"/>
        <color theme="1"/>
        <rFont val="Calibri"/>
        <family val="2"/>
        <scheme val="minor"/>
      </rPr>
      <t>: Burners</t>
    </r>
  </si>
  <si>
    <r>
      <rPr>
        <b/>
        <i/>
        <sz val="11"/>
        <color theme="1"/>
        <rFont val="Calibri"/>
        <family val="2"/>
        <scheme val="minor"/>
      </rPr>
      <t>s</t>
    </r>
    <r>
      <rPr>
        <b/>
        <i/>
        <vertAlign val="subscript"/>
        <sz val="11"/>
        <color theme="1"/>
        <rFont val="Calibri"/>
        <family val="2"/>
        <scheme val="minor"/>
      </rPr>
      <t>SP</t>
    </r>
    <r>
      <rPr>
        <b/>
        <sz val="11"/>
        <color theme="1"/>
        <rFont val="Calibri"/>
        <family val="2"/>
        <scheme val="minor"/>
      </rPr>
      <t xml:space="preserve"> =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</si>
  <si>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 xml:space="preserve">SP </t>
    </r>
    <r>
      <rPr>
        <b/>
        <sz val="11"/>
        <color theme="1"/>
        <rFont val="Calibri"/>
        <family val="2"/>
        <scheme val="minor"/>
      </rPr>
      <t>= R-E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</si>
  <si>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MSM</t>
    </r>
    <r>
      <rPr>
        <vertAlign val="subscript"/>
        <sz val="11"/>
        <color theme="1"/>
        <rFont val="Calibri"/>
        <family val="2"/>
        <scheme val="minor"/>
      </rPr>
      <t xml:space="preserve">SP </t>
    </r>
    <r>
      <rPr>
        <sz val="12"/>
        <color theme="1"/>
        <rFont val="Calibri"/>
        <family val="2"/>
        <scheme val="minor"/>
      </rPr>
      <t>/ MSE</t>
    </r>
    <r>
      <rPr>
        <vertAlign val="subscript"/>
        <sz val="11"/>
        <color theme="1"/>
        <rFont val="Calibri"/>
        <family val="2"/>
        <scheme val="minor"/>
      </rPr>
      <t>SP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</si>
  <si>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</si>
  <si>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O2xFR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</si>
  <si>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O2*FR</t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</si>
  <si>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O2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</si>
  <si>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O2</t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</si>
  <si>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FR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</si>
  <si>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FR</t>
  </si>
  <si>
    <t>Notes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</si>
  <si>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Garamond"/>
        <family val="1"/>
      </rPr>
      <t>≤0.05</t>
    </r>
  </si>
  <si>
    <t>Source</t>
  </si>
  <si>
    <t>FRxO2</t>
  </si>
  <si>
    <t>Alt Models</t>
  </si>
  <si>
    <r>
      <t>(X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Matrix</t>
    </r>
  </si>
  <si>
    <t>FR x O2</t>
  </si>
  <si>
    <t>Burner</t>
  </si>
  <si>
    <t>FL</t>
  </si>
  <si>
    <t>WP/K</t>
  </si>
  <si>
    <t>Pt.</t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</si>
  <si>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y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</si>
  <si>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 Matrix</t>
    </r>
  </si>
  <si>
    <t>Block</t>
  </si>
  <si>
    <t>Pred</t>
  </si>
  <si>
    <t>Original Data</t>
  </si>
  <si>
    <t>Extrem.</t>
  </si>
  <si>
    <t>Coeff.</t>
  </si>
  <si>
    <t>step</t>
  </si>
  <si>
    <t>Stdev</t>
  </si>
  <si>
    <t>PI</t>
  </si>
  <si>
    <t>CI</t>
  </si>
  <si>
    <t>v</t>
  </si>
  <si>
    <t>u</t>
  </si>
  <si>
    <t>Mean</t>
  </si>
  <si>
    <t>Incremented Values</t>
  </si>
  <si>
    <t>22. O2 x O2</t>
  </si>
  <si>
    <t>4. OFA</t>
  </si>
  <si>
    <t>3. FGR</t>
  </si>
  <si>
    <t>2. O2</t>
  </si>
  <si>
    <t>1. FS</t>
  </si>
  <si>
    <t>NA</t>
  </si>
  <si>
    <t>VIF</t>
  </si>
  <si>
    <t>Sig?</t>
  </si>
  <si>
    <r>
      <t>b</t>
    </r>
    <r>
      <rPr>
        <b/>
        <i/>
        <vertAlign val="subscript"/>
        <sz val="11"/>
        <color theme="1"/>
        <rFont val="Times New Roman"/>
        <family val="1"/>
      </rPr>
      <t>j</t>
    </r>
  </si>
  <si>
    <r>
      <t>a</t>
    </r>
    <r>
      <rPr>
        <b/>
        <i/>
        <vertAlign val="subscript"/>
        <sz val="11"/>
        <color theme="1"/>
        <rFont val="Times New Roman"/>
        <family val="1"/>
      </rPr>
      <t>j</t>
    </r>
  </si>
  <si>
    <r>
      <t>x</t>
    </r>
    <r>
      <rPr>
        <b/>
        <vertAlign val="subscript"/>
        <sz val="11"/>
        <color theme="1"/>
        <rFont val="Times New Roman"/>
        <family val="1"/>
      </rPr>
      <t>SV</t>
    </r>
  </si>
  <si>
    <t>Factor</t>
  </si>
  <si>
    <t>λ</t>
  </si>
  <si>
    <t>Effect Tests</t>
  </si>
  <si>
    <r>
      <t>t</t>
    </r>
    <r>
      <rPr>
        <b/>
        <vertAlign val="subscript"/>
        <sz val="11"/>
        <color theme="1"/>
        <rFont val="Times New Roman"/>
        <family val="1"/>
      </rPr>
      <t>crit</t>
    </r>
  </si>
  <si>
    <r>
      <rPr>
        <i/>
        <sz val="11"/>
        <color theme="1"/>
        <rFont val="Times New Roman"/>
        <family val="1"/>
      </rPr>
      <t>R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=</t>
    </r>
  </si>
  <si>
    <r>
      <rPr>
        <i/>
        <sz val="11"/>
        <color theme="1"/>
        <rFont val="Times New Roman"/>
        <family val="1"/>
      </rPr>
      <t>s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=</t>
    </r>
  </si>
  <si>
    <r>
      <t>22. O2</t>
    </r>
    <r>
      <rPr>
        <b/>
        <vertAlign val="superscript"/>
        <sz val="11"/>
        <color theme="1"/>
        <rFont val="Times New Roman"/>
        <family val="1"/>
      </rPr>
      <t>2</t>
    </r>
  </si>
  <si>
    <t>vj</t>
  </si>
  <si>
    <t>uj</t>
  </si>
  <si>
    <t>NOx</t>
  </si>
  <si>
    <r>
      <t>X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</si>
  <si>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(X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X)</t>
    </r>
    <r>
      <rPr>
        <b/>
        <vertAlign val="superscript"/>
        <sz val="11"/>
        <color theme="1"/>
        <rFont val="Times New Roman"/>
        <family val="1"/>
      </rPr>
      <t>-1</t>
    </r>
  </si>
  <si>
    <t>Leverage Regressions</t>
  </si>
  <si>
    <t>Responses</t>
  </si>
  <si>
    <t>UPLs</t>
  </si>
  <si>
    <t>LPLs</t>
  </si>
  <si>
    <t>UCLs</t>
  </si>
  <si>
    <t>LCLs</t>
  </si>
  <si>
    <t>Prediction Intervals</t>
  </si>
  <si>
    <t>Confidence Intervals</t>
  </si>
  <si>
    <t xml:space="preserve">Incremental v̂ </t>
  </si>
  <si>
    <t>Step</t>
  </si>
  <si>
    <t>Max</t>
  </si>
  <si>
    <t>Min</t>
  </si>
  <si>
    <r>
      <t>1/</t>
    </r>
    <r>
      <rPr>
        <b/>
        <sz val="11"/>
        <color theme="1"/>
        <rFont val="Garamond"/>
        <family val="1"/>
      </rPr>
      <t>Σu</t>
    </r>
    <r>
      <rPr>
        <b/>
        <vertAlign val="subscript"/>
        <sz val="11"/>
        <color theme="1"/>
        <rFont val="Garamond"/>
        <family val="1"/>
      </rPr>
      <t>x</t>
    </r>
    <r>
      <rPr>
        <b/>
        <vertAlign val="superscript"/>
        <sz val="11"/>
        <color theme="1"/>
        <rFont val="Garamond"/>
        <family val="1"/>
      </rPr>
      <t>2</t>
    </r>
  </si>
  <si>
    <r>
      <t>v̂</t>
    </r>
    <r>
      <rPr>
        <b/>
        <vertAlign val="subscript"/>
        <sz val="11"/>
        <color theme="1"/>
        <rFont val="Times New Roman"/>
        <family val="1"/>
      </rPr>
      <t>4</t>
    </r>
  </si>
  <si>
    <r>
      <t>v̂</t>
    </r>
    <r>
      <rPr>
        <b/>
        <vertAlign val="subscript"/>
        <sz val="11"/>
        <color theme="1"/>
        <rFont val="Times New Roman"/>
        <family val="1"/>
      </rPr>
      <t>3</t>
    </r>
  </si>
  <si>
    <r>
      <t>v̂</t>
    </r>
    <r>
      <rPr>
        <b/>
        <vertAlign val="subscript"/>
        <sz val="11"/>
        <color theme="1"/>
        <rFont val="Times New Roman"/>
        <family val="1"/>
      </rPr>
      <t>2</t>
    </r>
  </si>
  <si>
    <r>
      <t>v̂</t>
    </r>
    <r>
      <rPr>
        <b/>
        <vertAlign val="subscript"/>
        <sz val="11"/>
        <color theme="1"/>
        <rFont val="Times New Roman"/>
        <family val="1"/>
      </rPr>
      <t>1</t>
    </r>
  </si>
  <si>
    <r>
      <t>u</t>
    </r>
    <r>
      <rPr>
        <b/>
        <vertAlign val="subscript"/>
        <sz val="11"/>
        <color theme="1"/>
        <rFont val="Times New Roman"/>
        <family val="1"/>
      </rPr>
      <t>5</t>
    </r>
  </si>
  <si>
    <r>
      <t>u</t>
    </r>
    <r>
      <rPr>
        <b/>
        <vertAlign val="subscript"/>
        <sz val="11"/>
        <color theme="1"/>
        <rFont val="Times New Roman"/>
        <family val="1"/>
      </rPr>
      <t>4</t>
    </r>
  </si>
  <si>
    <r>
      <t>u</t>
    </r>
    <r>
      <rPr>
        <b/>
        <vertAlign val="subscript"/>
        <sz val="11"/>
        <color theme="1"/>
        <rFont val="Times New Roman"/>
        <family val="1"/>
      </rPr>
      <t>3</t>
    </r>
  </si>
  <si>
    <r>
      <t>u</t>
    </r>
    <r>
      <rPr>
        <b/>
        <vertAlign val="subscript"/>
        <sz val="11"/>
        <color theme="1"/>
        <rFont val="Times New Roman"/>
        <family val="1"/>
      </rPr>
      <t>2</t>
    </r>
  </si>
  <si>
    <r>
      <t>u</t>
    </r>
    <r>
      <rPr>
        <b/>
        <vertAlign val="subscript"/>
        <sz val="11"/>
        <color theme="1"/>
        <rFont val="Times New Roman"/>
        <family val="1"/>
      </rPr>
      <t>1</t>
    </r>
  </si>
  <si>
    <t>1/n</t>
  </si>
  <si>
    <t>Graphical</t>
  </si>
  <si>
    <r>
      <t>c</t>
    </r>
    <r>
      <rPr>
        <vertAlign val="subscript"/>
        <sz val="11"/>
        <color theme="1"/>
        <rFont val="Times New Roman"/>
        <family val="1"/>
      </rPr>
      <t>1</t>
    </r>
  </si>
  <si>
    <r>
      <t>c</t>
    </r>
    <r>
      <rPr>
        <vertAlign val="subscript"/>
        <sz val="11"/>
        <color theme="1"/>
        <rFont val="Times New Roman"/>
        <family val="1"/>
      </rPr>
      <t>0</t>
    </r>
  </si>
  <si>
    <t>stdev</t>
  </si>
  <si>
    <r>
      <t>b</t>
    </r>
    <r>
      <rPr>
        <b/>
        <vertAlign val="subscript"/>
        <sz val="11"/>
        <color theme="1"/>
        <rFont val="Times New Roman"/>
        <family val="1"/>
      </rPr>
      <t>22</t>
    </r>
  </si>
  <si>
    <r>
      <t>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</si>
  <si>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22</t>
    </r>
  </si>
  <si>
    <r>
      <t>X</t>
    </r>
    <r>
      <rPr>
        <b/>
        <vertAlign val="subscript"/>
        <sz val="11"/>
        <color theme="1"/>
        <rFont val="Times New Roman"/>
        <family val="1"/>
      </rPr>
      <t>-5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5</t>
    </r>
  </si>
  <si>
    <t>Leverage Vectors</t>
  </si>
  <si>
    <r>
      <t>(X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</si>
  <si>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4</t>
    </r>
  </si>
  <si>
    <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</si>
  <si>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4</t>
    </r>
  </si>
  <si>
    <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4</t>
    </r>
  </si>
  <si>
    <r>
      <t>(X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</si>
  <si>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3</t>
    </r>
  </si>
  <si>
    <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</si>
  <si>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3</t>
    </r>
  </si>
  <si>
    <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3</t>
    </r>
  </si>
  <si>
    <r>
      <t>(X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</si>
  <si>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</si>
  <si>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</si>
  <si>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</si>
  <si>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2</t>
    </r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</si>
  <si>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crit</t>
    </r>
  </si>
  <si>
    <r>
      <t>(X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</si>
  <si>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v</t>
    </r>
    <r>
      <rPr>
        <b/>
        <vertAlign val="subscript"/>
        <sz val="11"/>
        <color theme="1"/>
        <rFont val="Times New Roman"/>
        <family val="1"/>
      </rPr>
      <t>22</t>
    </r>
  </si>
  <si>
    <r>
      <t>v</t>
    </r>
    <r>
      <rPr>
        <b/>
        <vertAlign val="subscript"/>
        <sz val="11"/>
        <color theme="1"/>
        <rFont val="Times New Roman"/>
        <family val="1"/>
      </rPr>
      <t>4</t>
    </r>
  </si>
  <si>
    <r>
      <t>v</t>
    </r>
    <r>
      <rPr>
        <b/>
        <vertAlign val="subscript"/>
        <sz val="11"/>
        <color theme="1"/>
        <rFont val="Times New Roman"/>
        <family val="1"/>
      </rPr>
      <t>3</t>
    </r>
  </si>
  <si>
    <r>
      <t>v</t>
    </r>
    <r>
      <rPr>
        <b/>
        <vertAlign val="subscript"/>
        <sz val="11"/>
        <color theme="1"/>
        <rFont val="Times New Roman"/>
        <family val="1"/>
      </rPr>
      <t>2</t>
    </r>
  </si>
  <si>
    <r>
      <t>v</t>
    </r>
    <r>
      <rPr>
        <b/>
        <vertAlign val="subscript"/>
        <sz val="11"/>
        <color theme="1"/>
        <rFont val="Times New Roman"/>
        <family val="1"/>
      </rPr>
      <t>1</t>
    </r>
  </si>
  <si>
    <r>
      <t>u</t>
    </r>
    <r>
      <rPr>
        <b/>
        <vertAlign val="subscript"/>
        <sz val="11"/>
        <color theme="1"/>
        <rFont val="Times New Roman"/>
        <family val="1"/>
      </rPr>
      <t>22</t>
    </r>
  </si>
  <si>
    <r>
      <t>b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</si>
  <si>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</si>
  <si>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</si>
  <si>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1</t>
    </r>
  </si>
  <si>
    <t>NOx,c [ppm]</t>
  </si>
  <si>
    <r>
      <t>u</t>
    </r>
    <r>
      <rPr>
        <b/>
        <i/>
        <vertAlign val="subscript"/>
        <sz val="11"/>
        <color theme="1"/>
        <rFont val="Times New Roman"/>
        <family val="1"/>
      </rPr>
      <t>j</t>
    </r>
    <r>
      <rPr>
        <b/>
        <sz val="11"/>
        <color theme="1"/>
        <rFont val="Times New Roman"/>
        <family val="1"/>
      </rPr>
      <t xml:space="preserve"> and v</t>
    </r>
    <r>
      <rPr>
        <b/>
        <i/>
        <vertAlign val="subscript"/>
        <sz val="11"/>
        <color theme="1"/>
        <rFont val="Times New Roman"/>
        <family val="1"/>
      </rPr>
      <t>j</t>
    </r>
    <r>
      <rPr>
        <b/>
        <sz val="11"/>
        <color theme="1"/>
        <rFont val="Times New Roman"/>
        <family val="1"/>
      </rPr>
      <t xml:space="preserve"> Vectors</t>
    </r>
  </si>
  <si>
    <r>
      <t>(X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</si>
  <si>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t>X Permutations</t>
  </si>
  <si>
    <t>*</t>
  </si>
  <si>
    <t>1. FR</t>
  </si>
  <si>
    <t>S.E.</t>
  </si>
  <si>
    <t>β</t>
  </si>
  <si>
    <t>22*</t>
  </si>
  <si>
    <t>11*</t>
  </si>
  <si>
    <t>12*</t>
  </si>
  <si>
    <t>2*</t>
  </si>
  <si>
    <t>1*</t>
  </si>
  <si>
    <r>
      <t>(X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</si>
  <si>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</t>
    </r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</si>
  <si>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 xml:space="preserve">2 </t>
    </r>
    <r>
      <rPr>
        <sz val="12"/>
        <color theme="1"/>
        <rFont val="Times New Roman"/>
        <family val="1"/>
      </rPr>
      <t>=</t>
    </r>
  </si>
  <si>
    <r>
      <t>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y</t>
    </r>
    <r>
      <rPr>
        <b/>
        <vertAlign val="superscript"/>
        <sz val="12"/>
        <color theme="1"/>
        <rFont val="Times New Roman"/>
        <family val="1"/>
      </rPr>
      <t>*</t>
    </r>
  </si>
  <si>
    <r>
      <t>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Matrix</t>
    </r>
  </si>
  <si>
    <t>[MW]</t>
  </si>
  <si>
    <r>
      <t>ŷ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vertAlign val="subscript"/>
        <sz val="12"/>
        <color theme="1"/>
        <rFont val="Times New Roman"/>
        <family val="1"/>
      </rPr>
      <t xml:space="preserve"> </t>
    </r>
  </si>
  <si>
    <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Matrix</t>
    </r>
  </si>
  <si>
    <r>
      <t>FL</t>
    </r>
    <r>
      <rPr>
        <b/>
        <vertAlign val="superscript"/>
        <sz val="12"/>
        <color theme="1"/>
        <rFont val="Times New Roman"/>
        <family val="1"/>
      </rPr>
      <t>*</t>
    </r>
  </si>
  <si>
    <t>BIC =</t>
  </si>
  <si>
    <r>
      <rPr>
        <b/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</t>
    </r>
  </si>
  <si>
    <r>
      <rPr>
        <b/>
        <i/>
        <sz val="12"/>
        <color theme="1"/>
        <rFont val="Times New Roman"/>
        <family val="1"/>
      </rPr>
      <t>R</t>
    </r>
    <r>
      <rPr>
        <b/>
        <i/>
        <vertAlign val="subscript"/>
        <sz val="12"/>
        <color theme="1"/>
        <rFont val="Times New Roman"/>
        <family val="1"/>
      </rPr>
      <t>A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</si>
  <si>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r>
      <rPr>
        <b/>
        <i/>
        <sz val="12"/>
        <color theme="1"/>
        <rFont val="Times New Roman"/>
        <family val="1"/>
      </rPr>
      <t>R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</si>
  <si>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R</t>
    </r>
    <r>
      <rPr>
        <b/>
        <i/>
        <vertAlign val="subscript"/>
        <sz val="12"/>
        <color theme="1"/>
        <rFont val="Times New Roman"/>
        <family val="1"/>
      </rPr>
      <t>p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</si>
  <si>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Statistics</t>
  </si>
  <si>
    <t>Additional</t>
  </si>
  <si>
    <r>
      <t xml:space="preserve">Quartic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 5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</si>
  <si>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=5</t>
    </r>
  </si>
  <si>
    <r>
      <t xml:space="preserve">Cubic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=4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</si>
  <si>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=4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</si>
  <si>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=3</t>
    </r>
  </si>
  <si>
    <r>
      <t xml:space="preserve">Quadratic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=3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</si>
  <si>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=2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</si>
  <si>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=1</t>
    </r>
  </si>
  <si>
    <r>
      <t xml:space="preserve">Linear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=2</t>
    </r>
  </si>
  <si>
    <r>
      <t>ŷ</t>
    </r>
    <r>
      <rPr>
        <b/>
        <vertAlign val="subscript"/>
        <sz val="12"/>
        <color theme="1"/>
        <rFont val="Times New Roman"/>
        <family val="1"/>
      </rPr>
      <t>4</t>
    </r>
  </si>
  <si>
    <r>
      <t>ŷ</t>
    </r>
    <r>
      <rPr>
        <b/>
        <vertAlign val="subscript"/>
        <sz val="12"/>
        <color theme="1"/>
        <rFont val="Times New Roman"/>
        <family val="1"/>
      </rPr>
      <t>3</t>
    </r>
  </si>
  <si>
    <r>
      <t>ŷ</t>
    </r>
    <r>
      <rPr>
        <b/>
        <vertAlign val="subscript"/>
        <sz val="12"/>
        <color theme="1"/>
        <rFont val="Times New Roman"/>
        <family val="1"/>
      </rPr>
      <t>2</t>
    </r>
  </si>
  <si>
    <r>
      <t>ŷ</t>
    </r>
    <r>
      <rPr>
        <b/>
        <vertAlign val="subscript"/>
        <sz val="12"/>
        <color theme="1"/>
        <rFont val="Times New Roman"/>
        <family val="1"/>
      </rPr>
      <t>1</t>
    </r>
  </si>
  <si>
    <t>y</t>
  </si>
  <si>
    <t>ANOVAs</t>
  </si>
  <si>
    <t>Coefficients</t>
  </si>
  <si>
    <t>X Matrices</t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</si>
  <si>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</si>
  <si>
    <r>
      <t>C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</si>
  <si>
    <r>
      <t>CH</t>
    </r>
    <r>
      <rPr>
        <vertAlign val="subscript"/>
        <sz val="12"/>
        <color rgb="FF000000"/>
        <rFont val="Times New Roman"/>
        <family val="1"/>
      </rPr>
      <t>4</t>
    </r>
  </si>
  <si>
    <t>Total</t>
  </si>
  <si>
    <t>C5+</t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</si>
  <si>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</si>
  <si>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</si>
  <si>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</si>
  <si>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H</t>
    </r>
    <r>
      <rPr>
        <vertAlign val="subscript"/>
        <sz val="12"/>
        <color rgb="FF000000"/>
        <rFont val="Times New Roman"/>
        <family val="1"/>
      </rPr>
      <t>2</t>
    </r>
  </si>
  <si>
    <t>C=C</t>
  </si>
  <si>
    <t>C−C</t>
  </si>
  <si>
    <t>C−H</t>
  </si>
  <si>
    <t>H−H</t>
  </si>
  <si>
    <r>
      <t>q</t>
    </r>
    <r>
      <rPr>
        <b/>
        <vertAlign val="subscript"/>
        <sz val="12"/>
        <rFont val="Times New Roman"/>
        <family val="1"/>
      </rPr>
      <t>t</t>
    </r>
  </si>
  <si>
    <t>Species</t>
  </si>
  <si>
    <r>
      <t>q</t>
    </r>
    <r>
      <rPr>
        <b/>
        <vertAlign val="subscript"/>
        <sz val="12"/>
        <rFont val="Times New Roman"/>
        <family val="1"/>
      </rPr>
      <t>s</t>
    </r>
  </si>
  <si>
    <r>
      <t>F</t>
    </r>
    <r>
      <rPr>
        <b/>
        <vertAlign val="subscript"/>
        <sz val="12"/>
        <rFont val="Times New Roman"/>
        <family val="1"/>
      </rPr>
      <t>t</t>
    </r>
  </si>
  <si>
    <r>
      <t>q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= (F</t>
    </r>
    <r>
      <rPr>
        <b/>
        <vertAlign val="subscript"/>
        <sz val="12"/>
        <rFont val="Times New Roman"/>
        <family val="1"/>
      </rPr>
      <t>s</t>
    </r>
    <r>
      <rPr>
        <b/>
        <sz val="12"/>
        <rFont val="Times New Roman"/>
        <family val="1"/>
      </rPr>
      <t>F</t>
    </r>
    <r>
      <rPr>
        <b/>
        <vertAlign val="subscript"/>
        <sz val="12"/>
        <rFont val="Times New Roman"/>
        <family val="1"/>
      </rPr>
      <t>t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)q</t>
    </r>
    <r>
      <rPr>
        <b/>
        <vertAlign val="subscript"/>
        <sz val="12"/>
        <rFont val="Times New Roman"/>
        <family val="1"/>
      </rPr>
      <t>s</t>
    </r>
  </si>
  <si>
    <r>
      <t>F</t>
    </r>
    <r>
      <rPr>
        <b/>
        <vertAlign val="subscript"/>
        <sz val="12"/>
        <rFont val="Times New Roman"/>
        <family val="1"/>
      </rPr>
      <t>s</t>
    </r>
  </si>
  <si>
    <t>Source Fuel</t>
  </si>
  <si>
    <r>
      <t>(123)</t>
    </r>
    <r>
      <rPr>
        <vertAlign val="superscript"/>
        <sz val="12"/>
        <color theme="1"/>
        <rFont val="Times New Roman"/>
        <family val="1"/>
      </rPr>
      <t>2</t>
    </r>
  </si>
  <si>
    <r>
      <t>Z</t>
    </r>
    <r>
      <rPr>
        <b/>
        <vertAlign val="superscript"/>
        <sz val="12"/>
        <color theme="1"/>
        <rFont val="Times New Roman"/>
        <family val="1"/>
      </rPr>
      <t>-1</t>
    </r>
  </si>
  <si>
    <r>
      <t>(123)</t>
    </r>
    <r>
      <rPr>
        <b/>
        <vertAlign val="superscript"/>
        <sz val="12"/>
        <color theme="1"/>
        <rFont val="Times New Roman"/>
        <family val="1"/>
      </rPr>
      <t>2</t>
    </r>
  </si>
  <si>
    <t>Simplex Axial</t>
  </si>
  <si>
    <t>Simplex Lattice</t>
  </si>
  <si>
    <r>
      <t>z</t>
    </r>
    <r>
      <rPr>
        <b/>
        <vertAlign val="subscript"/>
        <sz val="12"/>
        <color theme="1"/>
        <rFont val="Times New Roman"/>
        <family val="1"/>
      </rPr>
      <t>3</t>
    </r>
  </si>
  <si>
    <r>
      <t>z</t>
    </r>
    <r>
      <rPr>
        <b/>
        <vertAlign val="subscript"/>
        <sz val="12"/>
        <color theme="1"/>
        <rFont val="Times New Roman"/>
        <family val="1"/>
      </rPr>
      <t>2</t>
    </r>
  </si>
  <si>
    <r>
      <t>z</t>
    </r>
    <r>
      <rPr>
        <b/>
        <vertAlign val="subscript"/>
        <sz val="12"/>
        <color theme="1"/>
        <rFont val="Times New Roman"/>
        <family val="1"/>
      </rPr>
      <t>1</t>
    </r>
  </si>
  <si>
    <t>Simplex Centroid</t>
  </si>
  <si>
    <t>S</t>
  </si>
  <si>
    <t>P</t>
  </si>
  <si>
    <t>L</t>
  </si>
  <si>
    <t>E</t>
  </si>
  <si>
    <t>H2</t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</si>
  <si>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=</t>
    </r>
  </si>
  <si>
    <t xml:space="preserve">ŷ </t>
  </si>
  <si>
    <t>Effect</t>
  </si>
  <si>
    <r>
      <rPr>
        <b/>
        <i/>
        <sz val="12"/>
        <color theme="1"/>
        <rFont val="Times New Roman"/>
        <family val="1"/>
      </rPr>
      <t>t -</t>
    </r>
    <r>
      <rPr>
        <b/>
        <sz val="12"/>
        <color theme="1"/>
        <rFont val="Times New Roman"/>
        <family val="1"/>
      </rPr>
      <t>tests on Signicant Effects</t>
    </r>
  </si>
  <si>
    <r>
      <t>R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</si>
  <si>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s =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</si>
  <si>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 xml:space="preserve">-1 </t>
    </r>
    <r>
      <rPr>
        <b/>
        <sz val="12"/>
        <color theme="1"/>
        <rFont val="Times New Roman"/>
        <family val="1"/>
      </rPr>
      <t>Matrix</t>
    </r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</si>
  <si>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, Significant Effects</t>
    </r>
  </si>
  <si>
    <t>ANOVA on Significant Effects Only</t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</si>
  <si>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</si>
  <si>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</si>
  <si>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X, Significant Effects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</si>
  <si>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</t>
    </r>
  </si>
  <si>
    <r>
      <rPr>
        <b/>
        <i/>
        <sz val="12"/>
        <color theme="1"/>
        <rFont val="Times New Roman"/>
        <family val="1"/>
      </rPr>
      <t>t -</t>
    </r>
    <r>
      <rPr>
        <b/>
        <sz val="12"/>
        <color theme="1"/>
        <rFont val="Times New Roman"/>
        <family val="1"/>
      </rPr>
      <t>tests on All Effects</t>
    </r>
  </si>
  <si>
    <t>11&amp;22</t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</si>
  <si>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-2/3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</si>
  <si>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-2/3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</si>
  <si>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</si>
  <si>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t>X Matrix, Significant Effects</t>
  </si>
  <si>
    <t>Analysis of Variance (ANOVA)</t>
  </si>
  <si>
    <r>
      <t>S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</si>
  <si>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</si>
  <si>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</si>
  <si>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</si>
  <si>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</si>
  <si>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</si>
  <si>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</si>
  <si>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 Matrix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</si>
  <si>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</si>
  <si>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11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</si>
  <si>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B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</si>
  <si>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</si>
  <si>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</si>
  <si>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</si>
  <si>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0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</si>
  <si>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-1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</si>
  <si>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-1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</si>
  <si>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-1</t>
    </r>
  </si>
  <si>
    <r>
      <t>W Matrix = XS</t>
    </r>
    <r>
      <rPr>
        <b/>
        <vertAlign val="superscript"/>
        <sz val="12"/>
        <color theme="1"/>
        <rFont val="Times New Roman"/>
        <family val="1"/>
      </rPr>
      <t>-1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</si>
  <si>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for RSV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</si>
  <si>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for CSD</t>
    </r>
  </si>
  <si>
    <t>Repeated Value Simplex (RVS)</t>
  </si>
  <si>
    <t>Classical Simplex Design (CSD)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</si>
  <si>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, Including Block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</si>
  <si>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Matrix, Including Block</t>
    </r>
  </si>
  <si>
    <t>Accounting For Block Differences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</si>
  <si>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Matrix, No Block</t>
    </r>
  </si>
  <si>
    <t>HR</t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</si>
  <si>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Matrix, No Block</t>
    </r>
  </si>
  <si>
    <t>ŷ, w/B</t>
  </si>
  <si>
    <t>ŷ, No B</t>
  </si>
  <si>
    <t>y. FL</t>
  </si>
  <si>
    <t>B =123</t>
  </si>
  <si>
    <t>Run</t>
  </si>
  <si>
    <t>Without Accounting For Block Differences</t>
  </si>
  <si>
    <t>ANOVA, Non-Randomized on Temp.</t>
  </si>
  <si>
    <t>ANOVA, Randomized on x</t>
  </si>
  <si>
    <t>ANOVA, Non-Randomized on x</t>
  </si>
  <si>
    <t>x</t>
  </si>
  <si>
    <t>T [°C]</t>
  </si>
  <si>
    <t>X Matrix, Nonrand. on T</t>
  </si>
  <si>
    <t>Non-Randomized on Temp.</t>
  </si>
  <si>
    <t>X Matrix, Rand. on x</t>
  </si>
  <si>
    <t>Randomized on x</t>
  </si>
  <si>
    <t>X Matrix, Nonrand. on x</t>
  </si>
  <si>
    <t>Non-Randomized on x</t>
  </si>
  <si>
    <r>
      <t>R</t>
    </r>
    <r>
      <rPr>
        <b/>
        <vertAlign val="super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=</t>
    </r>
  </si>
  <si>
    <t>m</t>
  </si>
  <si>
    <t>n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</si>
  <si>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</si>
  <si>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t>ANOVA, Speciated</t>
  </si>
  <si>
    <t>[ppm]</t>
  </si>
  <si>
    <t>Temp [F]</t>
  </si>
  <si>
    <t>ANOVA, Pooled</t>
  </si>
  <si>
    <r>
      <t>ӯ</t>
    </r>
    <r>
      <rPr>
        <b/>
        <i/>
        <vertAlign val="subscript"/>
        <sz val="12"/>
        <color theme="1"/>
        <rFont val="Garamond"/>
        <family val="1"/>
      </rPr>
      <t>r</t>
    </r>
  </si>
  <si>
    <r>
      <t>y</t>
    </r>
    <r>
      <rPr>
        <b/>
        <sz val="12"/>
        <color theme="1"/>
        <rFont val="Garamond"/>
        <family val="1"/>
      </rPr>
      <t xml:space="preserve">̂ </t>
    </r>
  </si>
  <si>
    <t>Oxygen</t>
  </si>
  <si>
    <t>Furnace</t>
  </si>
  <si>
    <t>Factors</t>
  </si>
  <si>
    <t>Alias Matrix (A)</t>
  </si>
  <si>
    <t>Ξ Matrix</t>
  </si>
  <si>
    <t>s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</si>
  <si>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</t>
    </r>
  </si>
  <si>
    <t>APH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</si>
  <si>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</t>
    </r>
  </si>
  <si>
    <t>BWT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</si>
  <si>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3</t>
    </r>
  </si>
  <si>
    <r>
      <t xml:space="preserve">O2 </t>
    </r>
    <r>
      <rPr>
        <sz val="12"/>
        <color theme="1"/>
        <rFont val="Calibri"/>
        <family val="2"/>
      </rPr>
      <t xml:space="preserve">x </t>
    </r>
    <r>
      <rPr>
        <sz val="12"/>
        <color theme="1"/>
        <rFont val="Times New Roman"/>
        <family val="1"/>
      </rPr>
      <t>APH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</si>
  <si>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12</t>
    </r>
  </si>
  <si>
    <r>
      <t xml:space="preserve">O2 </t>
    </r>
    <r>
      <rPr>
        <sz val="12"/>
        <color theme="1"/>
        <rFont val="Calibri"/>
        <family val="2"/>
      </rPr>
      <t>x</t>
    </r>
    <r>
      <rPr>
        <sz val="12"/>
        <color theme="1"/>
        <rFont val="Times New Roman"/>
        <family val="1"/>
      </rPr>
      <t xml:space="preserve"> 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</si>
  <si>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13</t>
    </r>
  </si>
  <si>
    <r>
      <t>O2</t>
    </r>
    <r>
      <rPr>
        <sz val="12"/>
        <color theme="1"/>
        <rFont val="Calibri"/>
        <family val="2"/>
      </rPr>
      <t xml:space="preserve"> x </t>
    </r>
    <r>
      <rPr>
        <sz val="12"/>
        <color theme="1"/>
        <rFont val="Times New Roman"/>
        <family val="1"/>
      </rPr>
      <t xml:space="preserve">APH </t>
    </r>
    <r>
      <rPr>
        <sz val="12"/>
        <color theme="1"/>
        <rFont val="Calibri"/>
        <family val="2"/>
      </rPr>
      <t>x</t>
    </r>
    <r>
      <rPr>
        <sz val="12"/>
        <color theme="1"/>
        <rFont val="Times New Roman"/>
        <family val="1"/>
      </rPr>
      <t xml:space="preserve"> 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</si>
  <si>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123</t>
    </r>
  </si>
  <si>
    <r>
      <t xml:space="preserve">APH </t>
    </r>
    <r>
      <rPr>
        <sz val="12"/>
        <color theme="1"/>
        <rFont val="Calibri"/>
        <family val="2"/>
      </rPr>
      <t xml:space="preserve">x </t>
    </r>
    <r>
      <rPr>
        <sz val="12"/>
        <color theme="1"/>
        <rFont val="Times New Roman"/>
        <family val="1"/>
      </rPr>
      <t>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</si>
  <si>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23</t>
    </r>
  </si>
  <si>
    <r>
      <rPr>
        <b/>
        <sz val="12"/>
        <color theme="1"/>
        <rFont val="Calibri"/>
        <family val="2"/>
      </rPr>
      <t xml:space="preserve">x </t>
    </r>
    <r>
      <rPr>
        <b/>
        <sz val="12"/>
        <color theme="1"/>
        <rFont val="Times New Roman"/>
        <family val="1"/>
      </rPr>
      <t>s</t>
    </r>
  </si>
  <si>
    <t>Ordinate</t>
  </si>
  <si>
    <t>Percentile</t>
  </si>
  <si>
    <t>Value</t>
  </si>
  <si>
    <t>Rank</t>
  </si>
  <si>
    <t>N.O.</t>
  </si>
  <si>
    <t>Normal</t>
  </si>
  <si>
    <t>Rank-Ordered Coefficients</t>
  </si>
  <si>
    <t>1/2 Range</t>
  </si>
  <si>
    <t>y, NOx ppm</t>
  </si>
  <si>
    <t>3. BWT, F</t>
  </si>
  <si>
    <t>2. APH, F</t>
  </si>
  <si>
    <t>1. O2,%</t>
  </si>
  <si>
    <t>Test Point</t>
  </si>
  <si>
    <t xml:space="preserve">Trunc. a </t>
  </si>
  <si>
    <t>Truncated X Matrix</t>
  </si>
  <si>
    <t>a vector</t>
  </si>
  <si>
    <t>Data in Original Metric</t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</si>
  <si>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</t>
    </r>
  </si>
  <si>
    <r>
      <rPr>
        <b/>
        <sz val="12"/>
        <color theme="1"/>
        <rFont val="Times New Roman"/>
        <family val="1"/>
      </rPr>
      <t>↑ Alternative ↑</t>
    </r>
    <r>
      <rPr>
        <b/>
        <sz val="11"/>
        <color theme="1"/>
        <rFont val="Times New Roman"/>
        <family val="1"/>
      </rPr>
      <t xml:space="preserve"> Representation</t>
    </r>
  </si>
  <si>
    <t xml:space="preserve">B </t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</si>
  <si>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C</t>
    </r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</si>
  <si>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B</t>
    </r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</si>
  <si>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A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</si>
  <si>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0</t>
    </r>
  </si>
  <si>
    <t>L rep</t>
  </si>
  <si>
    <t>Col</t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</si>
  <si>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S,adj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</si>
  <si>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</si>
  <si>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</si>
  <si>
    <t>RMS</t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</si>
  <si>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k</t>
    </r>
    <r>
      <rPr>
        <b/>
        <vertAlign val="superscript"/>
        <sz val="12"/>
        <color theme="1"/>
        <rFont val="Times New Roman"/>
        <family val="1"/>
      </rPr>
      <t>2</t>
    </r>
  </si>
  <si>
    <r>
      <t>c=L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1</t>
    </r>
  </si>
  <si>
    <r>
      <t>L</t>
    </r>
    <r>
      <rPr>
        <b/>
        <vertAlign val="superscript"/>
        <sz val="12"/>
        <color theme="1"/>
        <rFont val="Times New Roman"/>
        <family val="1"/>
      </rPr>
      <t>T</t>
    </r>
  </si>
  <si>
    <t>b</t>
  </si>
  <si>
    <r>
      <t>a=X</t>
    </r>
    <r>
      <rPr>
        <b/>
        <vertAlign val="subscript"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y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</si>
  <si>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a</t>
    </r>
  </si>
  <si>
    <t>k</t>
  </si>
  <si>
    <r>
      <t xml:space="preserve">Q 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Q</t>
    </r>
  </si>
  <si>
    <r>
      <t>X</t>
    </r>
    <r>
      <rPr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</t>
    </r>
  </si>
  <si>
    <r>
      <t>ŷ</t>
    </r>
    <r>
      <rPr>
        <b/>
        <vertAlign val="subscript"/>
        <sz val="12"/>
        <color theme="1"/>
        <rFont val="Times New Roman"/>
        <family val="1"/>
      </rPr>
      <t>kk</t>
    </r>
  </si>
  <si>
    <r>
      <t>ŷ</t>
    </r>
    <r>
      <rPr>
        <b/>
        <vertAlign val="subscript"/>
        <sz val="12"/>
        <color theme="1"/>
        <rFont val="Times New Roman"/>
        <family val="1"/>
      </rPr>
      <t>jk</t>
    </r>
  </si>
  <si>
    <r>
      <t>ŷ</t>
    </r>
    <r>
      <rPr>
        <b/>
        <vertAlign val="subscript"/>
        <sz val="12"/>
        <color theme="1"/>
        <rFont val="Times New Roman"/>
        <family val="1"/>
      </rPr>
      <t>k</t>
    </r>
  </si>
  <si>
    <r>
      <t>ŷ</t>
    </r>
    <r>
      <rPr>
        <b/>
        <vertAlign val="subscript"/>
        <sz val="12"/>
        <color theme="1"/>
        <rFont val="Times New Roman"/>
        <family val="1"/>
      </rPr>
      <t>0</t>
    </r>
  </si>
  <si>
    <t>Qb</t>
  </si>
  <si>
    <t>Xa</t>
  </si>
  <si>
    <t>Ŷ 1</t>
  </si>
  <si>
    <r>
      <t>Ŷ = XͶ</t>
    </r>
    <r>
      <rPr>
        <b/>
        <vertAlign val="subscript"/>
        <sz val="12"/>
        <color theme="1"/>
        <rFont val="Times New Roman"/>
        <family val="1"/>
      </rPr>
      <t>A</t>
    </r>
    <r>
      <rPr>
        <b/>
        <sz val="12"/>
        <color theme="1"/>
        <rFont val="Times New Roman"/>
        <family val="1"/>
      </rPr>
      <t xml:space="preserve"> = Q</t>
    </r>
    <r>
      <rPr>
        <b/>
        <vertAlign val="subscript"/>
        <sz val="12"/>
        <color theme="1"/>
        <rFont val="Times New Roman"/>
        <family val="1"/>
      </rPr>
      <t>adj</t>
    </r>
    <r>
      <rPr>
        <b/>
        <sz val="12"/>
        <color theme="1"/>
        <rFont val="Times New Roman"/>
        <family val="1"/>
      </rPr>
      <t>Ͷ</t>
    </r>
    <r>
      <rPr>
        <b/>
        <vertAlign val="subscript"/>
        <sz val="12"/>
        <color theme="1"/>
        <rFont val="Times New Roman"/>
        <family val="1"/>
      </rPr>
      <t>D</t>
    </r>
  </si>
  <si>
    <t>ŷ =</t>
  </si>
  <si>
    <r>
      <t>Q = X</t>
    </r>
    <r>
      <rPr>
        <b/>
        <sz val="12"/>
        <color theme="1"/>
        <rFont val="PCSB Hebrew"/>
        <charset val="2"/>
      </rPr>
      <t>A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vertAlign val="subscript"/>
        <sz val="12"/>
        <color theme="1"/>
        <rFont val="Times New Roman"/>
        <family val="1"/>
      </rPr>
      <t>S</t>
    </r>
  </si>
  <si>
    <r>
      <t>W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</si>
  <si>
    <r>
      <t>S</t>
    </r>
    <r>
      <rPr>
        <b/>
        <vertAlign val="superscript"/>
        <sz val="12"/>
        <color theme="1"/>
        <rFont val="Times New Roman"/>
        <family val="1"/>
      </rPr>
      <t>-1</t>
    </r>
  </si>
  <si>
    <t>Index</t>
  </si>
  <si>
    <r>
      <t>S</t>
    </r>
    <r>
      <rPr>
        <b/>
        <vertAlign val="superscript"/>
        <sz val="12"/>
        <color theme="1"/>
        <rFont val="Times New Roman"/>
        <family val="1"/>
      </rPr>
      <t>2</t>
    </r>
  </si>
  <si>
    <t>w4</t>
  </si>
  <si>
    <t>w3</t>
  </si>
  <si>
    <t>w2</t>
  </si>
  <si>
    <t>w1</t>
  </si>
  <si>
    <t>w0</t>
  </si>
  <si>
    <t>ε</t>
  </si>
  <si>
    <t>Wb</t>
  </si>
  <si>
    <r>
      <t>w</t>
    </r>
    <r>
      <rPr>
        <b/>
        <vertAlign val="subscript"/>
        <sz val="12"/>
        <color theme="1"/>
        <rFont val="Times New Roman"/>
        <family val="1"/>
      </rPr>
      <t>4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</si>
  <si>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</si>
  <si>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</si>
  <si>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</si>
  <si>
    <r>
      <t>w</t>
    </r>
    <r>
      <rPr>
        <b/>
        <vertAlign val="subscript"/>
        <sz val="12"/>
        <color theme="1"/>
        <rFont val="Times New Roman"/>
        <family val="1"/>
      </rPr>
      <t>0</t>
    </r>
  </si>
  <si>
    <r>
      <t>x</t>
    </r>
    <r>
      <rPr>
        <b/>
        <vertAlign val="superscript"/>
        <sz val="12"/>
        <color theme="1"/>
        <rFont val="Times New Roman"/>
        <family val="1"/>
      </rPr>
      <t>4</t>
    </r>
  </si>
  <si>
    <r>
      <t>x</t>
    </r>
    <r>
      <rPr>
        <b/>
        <vertAlign val="superscript"/>
        <sz val="12"/>
        <color theme="1"/>
        <rFont val="Times New Roman"/>
        <family val="1"/>
      </rPr>
      <t>3</t>
    </r>
  </si>
  <si>
    <r>
      <t>x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</si>
  <si>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perscript"/>
        <sz val="12"/>
        <color theme="1"/>
        <rFont val="Times New Roman"/>
        <family val="1"/>
      </rPr>
      <t>1</t>
    </r>
  </si>
  <si>
    <r>
      <t>x</t>
    </r>
    <r>
      <rPr>
        <b/>
        <vertAlign val="superscript"/>
        <sz val="12"/>
        <color theme="1"/>
        <rFont val="Times New Roman"/>
        <family val="1"/>
      </rPr>
      <t>0</t>
    </r>
  </si>
  <si>
    <t>W Matrix</t>
  </si>
  <si>
    <r>
      <t>L</t>
    </r>
    <r>
      <rPr>
        <b/>
        <vertAlign val="superscript"/>
        <sz val="12"/>
        <color theme="1"/>
        <rFont val="Times New Roman"/>
        <family val="1"/>
      </rPr>
      <t>-T</t>
    </r>
  </si>
  <si>
    <r>
      <t>LL</t>
    </r>
    <r>
      <rPr>
        <b/>
        <vertAlign val="superscript"/>
        <sz val="12"/>
        <color theme="1"/>
        <rFont val="Times New Roman"/>
        <family val="1"/>
      </rPr>
      <t>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</si>
  <si>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22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</si>
  <si>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11</t>
    </r>
  </si>
  <si>
    <r>
      <t>x</t>
    </r>
    <r>
      <rPr>
        <b/>
        <vertAlign val="subscript"/>
        <sz val="12"/>
        <color theme="1"/>
        <rFont val="Times New Roman"/>
        <family val="1"/>
      </rPr>
      <t>S</t>
    </r>
  </si>
  <si>
    <t>Λ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</si>
  <si>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0</t>
    </r>
  </si>
  <si>
    <r>
      <t>y</t>
    </r>
    <r>
      <rPr>
        <b/>
        <vertAlign val="subscript"/>
        <sz val="12"/>
        <color theme="1"/>
        <rFont val="Times New Roman"/>
        <family val="1"/>
      </rPr>
      <t>S</t>
    </r>
  </si>
  <si>
    <r>
      <t>β</t>
    </r>
    <r>
      <rPr>
        <b/>
        <vertAlign val="superscript"/>
        <sz val="12"/>
        <color theme="1"/>
        <rFont val="Times New Roman"/>
        <family val="1"/>
      </rPr>
      <t>T</t>
    </r>
  </si>
  <si>
    <t>λ, K</t>
  </si>
  <si>
    <r>
      <t>α</t>
    </r>
    <r>
      <rPr>
        <b/>
        <vertAlign val="superscript"/>
        <sz val="12"/>
        <color theme="1"/>
        <rFont val="Times New Roman"/>
        <family val="1"/>
      </rPr>
      <t>T</t>
    </r>
  </si>
  <si>
    <t>Coefficients, a</t>
  </si>
  <si>
    <r>
      <t>u</t>
    </r>
    <r>
      <rPr>
        <b/>
        <vertAlign val="subscript"/>
        <sz val="12"/>
        <color theme="1"/>
        <rFont val="Times New Roman"/>
        <family val="1"/>
      </rPr>
      <t>2</t>
    </r>
  </si>
  <si>
    <r>
      <t>u</t>
    </r>
    <r>
      <rPr>
        <b/>
        <vertAlign val="subscript"/>
        <sz val="12"/>
        <color theme="1"/>
        <rFont val="Times New Roman"/>
        <family val="1"/>
      </rPr>
      <t>1</t>
    </r>
  </si>
  <si>
    <t>6.3-3</t>
  </si>
  <si>
    <t>6.3-2</t>
  </si>
  <si>
    <r>
      <t>x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</si>
  <si>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</si>
  <si>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</si>
  <si>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</si>
  <si>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</si>
  <si>
    <t>Rot. Coords.</t>
  </si>
  <si>
    <t>Response Values</t>
  </si>
  <si>
    <r>
      <rPr>
        <b/>
        <sz val="12"/>
        <color theme="1"/>
        <rFont val="Times New Roman"/>
        <family val="1"/>
      </rPr>
      <t>K</t>
    </r>
  </si>
  <si>
    <t>λ:</t>
  </si>
  <si>
    <r>
      <t>Λ = U</t>
    </r>
    <r>
      <rPr>
        <b/>
        <vertAlign val="superscript"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U Matrix</t>
    </r>
  </si>
  <si>
    <t>U Matrix</t>
  </si>
  <si>
    <t>y = Ub</t>
  </si>
  <si>
    <r>
      <t>X</t>
    </r>
    <r>
      <rPr>
        <b/>
        <vertAlign val="superscript"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X Matrix</t>
    </r>
  </si>
  <si>
    <t>y = Xa</t>
  </si>
  <si>
    <r>
      <t>x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i/>
        <sz val="11"/>
        <color rgb="FF000000"/>
        <rFont val="Times New Roman"/>
        <family val="1"/>
      </rPr>
      <t>x</t>
    </r>
    <r>
      <rPr>
        <b/>
        <vertAlign val="subscript"/>
        <sz val="11"/>
        <color rgb="FF000000"/>
        <rFont val="Times New Roman"/>
        <family val="1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</si>
  <si>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</si>
  <si>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</rPr>
      <t>1</t>
    </r>
  </si>
  <si>
    <r>
      <t>Analysis from R</t>
    </r>
    <r>
      <rPr>
        <b/>
        <vertAlign val="superscript"/>
        <sz val="12"/>
        <color theme="1"/>
        <rFont val="Times New Roman"/>
        <family val="1"/>
      </rPr>
      <t>2</t>
    </r>
  </si>
  <si>
    <t>ȳ</t>
  </si>
  <si>
    <t>Other Stats.</t>
  </si>
  <si>
    <t>Normal Matrix Formulation and Coefficients</t>
  </si>
  <si>
    <t>Pred.</t>
  </si>
  <si>
    <t>Actual</t>
  </si>
  <si>
    <t>=MMULT(PseudoInv(J8:M11),J3:J6)</t>
  </si>
  <si>
    <t>=MMULT(TRANSPOSE(J8:M11),J3:J6)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</si>
  <si>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y</t>
    </r>
  </si>
  <si>
    <t>=MMULT(TRANSPOSE(J8:L11),J8:L11)</t>
  </si>
  <si>
    <t>=MMULT(PseudoInv(a8:C11),A3:A6)</t>
  </si>
  <si>
    <t>=MMULT(TRANSPOSE(A8:D11),A3:A6)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</si>
  <si>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=MMULT(TRANSPOSE(A8:C11),A8:C111)</t>
    </r>
  </si>
  <si>
    <t>Recalculation</t>
  </si>
  <si>
    <t>=MMULT(MINVERSE(N3:Q6),N8:N11)</t>
  </si>
  <si>
    <t>=MMULT(TRANSPOSE(J9:M12),J4:J7)</t>
  </si>
  <si>
    <t>=MMULT(MINVERSE(E3:H6),E8:E11)</t>
  </si>
  <si>
    <t>−1.0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</si>
  <si>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=MMULT(TRANSPOSE(J8:M11),J8:M11)</t>
    </r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</si>
  <si>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=MMULT(TRANSPOSE(A8:D11),A8:D11</t>
    </r>
  </si>
  <si>
    <t>Investigator 2</t>
  </si>
  <si>
    <t>Investigator 1</t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</si>
  <si>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</si>
  <si>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</si>
  <si>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</si>
  <si>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0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</si>
  <si>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3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</si>
  <si>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</si>
  <si>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1</t>
    </r>
  </si>
  <si>
    <r>
      <t>s</t>
    </r>
    <r>
      <rPr>
        <b/>
        <i/>
        <vertAlign val="subscript"/>
        <sz val="12"/>
        <color theme="1"/>
        <rFont val="Times New Roman"/>
        <family val="1"/>
      </rPr>
      <t>x</t>
    </r>
  </si>
  <si>
    <r>
      <t>s</t>
    </r>
    <r>
      <rPr>
        <b/>
        <vertAlign val="subscript"/>
        <sz val="12"/>
        <color theme="1"/>
        <rFont val="Times New Roman"/>
        <family val="1"/>
      </rPr>
      <t>y</t>
    </r>
    <r>
      <rPr>
        <b/>
        <sz val="12"/>
        <color theme="1"/>
        <rFont val="Times New Roman"/>
        <family val="1"/>
      </rPr>
      <t xml:space="preserve"> =</t>
    </r>
  </si>
  <si>
    <r>
      <t>a</t>
    </r>
    <r>
      <rPr>
        <b/>
        <i/>
        <sz val="12"/>
        <color theme="1"/>
        <rFont val="Times New Roman"/>
        <family val="1"/>
      </rPr>
      <t>'</t>
    </r>
  </si>
  <si>
    <t>t-tests on Effects</t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</si>
  <si>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crit</t>
    </r>
  </si>
  <si>
    <r>
      <rPr>
        <b/>
        <i/>
        <sz val="12"/>
        <color theme="1"/>
        <rFont val="Times New Roman"/>
        <family val="1"/>
      </rPr>
      <t>t</t>
    </r>
    <r>
      <rPr>
        <b/>
        <vertAlign val="subscript"/>
        <sz val="12"/>
        <color theme="1"/>
        <rFont val="Times New Roman"/>
        <family val="1"/>
      </rPr>
      <t>crit</t>
    </r>
  </si>
  <si>
    <r>
      <rPr>
        <b/>
        <i/>
        <sz val="12"/>
        <color theme="1"/>
        <rFont val="Times New Roman"/>
        <family val="1"/>
      </rPr>
      <t>F</t>
    </r>
    <r>
      <rPr>
        <b/>
        <vertAlign val="subscript"/>
        <sz val="12"/>
        <color theme="1"/>
        <rFont val="Times New Roman"/>
        <family val="1"/>
      </rPr>
      <t>crit</t>
    </r>
  </si>
  <si>
    <r>
      <t>Critical Values,</t>
    </r>
    <r>
      <rPr>
        <b/>
        <i/>
        <sz val="11"/>
        <color theme="1"/>
        <rFont val="Times New Roman"/>
        <family val="1"/>
      </rPr>
      <t xml:space="preserve"> p</t>
    </r>
    <r>
      <rPr>
        <b/>
        <sz val="11"/>
        <color theme="1"/>
        <rFont val="Times New Roman"/>
        <family val="1"/>
      </rPr>
      <t>=0.05</t>
    </r>
  </si>
  <si>
    <r>
      <t>R</t>
    </r>
    <r>
      <rPr>
        <b/>
        <i/>
        <vertAlign val="subscript"/>
        <sz val="12"/>
        <color theme="1"/>
        <rFont val="Times New Roman"/>
        <family val="1"/>
      </rPr>
      <t>k</t>
    </r>
    <r>
      <rPr>
        <b/>
        <vertAlign val="superscript"/>
        <sz val="12"/>
        <color theme="1"/>
        <rFont val="Times New Roman"/>
        <family val="1"/>
      </rPr>
      <t>2</t>
    </r>
  </si>
  <si>
    <r>
      <t>a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 xml:space="preserve"> corr.</t>
    </r>
  </si>
  <si>
    <r>
      <t>Span for x</t>
    </r>
    <r>
      <rPr>
        <i/>
        <sz val="12"/>
        <color theme="1"/>
        <rFont val="Times New Roman"/>
        <family val="1"/>
      </rPr>
      <t>'</t>
    </r>
  </si>
  <si>
    <r>
      <t>L</t>
    </r>
    <r>
      <rPr>
        <b/>
        <vertAlign val="superscript"/>
        <sz val="12"/>
        <color theme="1"/>
        <rFont val="Times New Roman"/>
        <family val="1"/>
      </rPr>
      <t>-T</t>
    </r>
    <r>
      <rPr>
        <b/>
        <sz val="12"/>
        <color theme="1"/>
        <rFont val="Times New Roman"/>
        <family val="1"/>
      </rPr>
      <t>=[(wX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)]</t>
    </r>
    <r>
      <rPr>
        <b/>
        <vertAlign val="superscript"/>
        <sz val="12"/>
        <color theme="1"/>
        <rFont val="Times New Roman"/>
        <family val="1"/>
      </rPr>
      <t>-T</t>
    </r>
  </si>
  <si>
    <r>
      <t>H</t>
    </r>
    <r>
      <rPr>
        <b/>
        <vertAlign val="subscript"/>
        <sz val="12"/>
        <color theme="1"/>
        <rFont val="Times New Roman"/>
        <family val="1"/>
      </rPr>
      <t>5</t>
    </r>
  </si>
  <si>
    <r>
      <t>H</t>
    </r>
    <r>
      <rPr>
        <b/>
        <vertAlign val="subscript"/>
        <sz val="12"/>
        <color theme="1"/>
        <rFont val="Times New Roman"/>
        <family val="1"/>
      </rPr>
      <t>4</t>
    </r>
  </si>
  <si>
    <r>
      <t>H</t>
    </r>
    <r>
      <rPr>
        <b/>
        <vertAlign val="subscript"/>
        <sz val="12"/>
        <color theme="1"/>
        <rFont val="Times New Roman"/>
        <family val="1"/>
      </rPr>
      <t>3</t>
    </r>
  </si>
  <si>
    <r>
      <t>H</t>
    </r>
    <r>
      <rPr>
        <b/>
        <vertAlign val="subscript"/>
        <sz val="12"/>
        <color theme="1"/>
        <rFont val="Times New Roman"/>
        <family val="1"/>
      </rPr>
      <t>2</t>
    </r>
  </si>
  <si>
    <r>
      <t>wx</t>
    </r>
    <r>
      <rPr>
        <b/>
        <vertAlign val="superscript"/>
        <sz val="12"/>
        <color theme="1"/>
        <rFont val="Times New Roman"/>
        <family val="1"/>
      </rPr>
      <t>5</t>
    </r>
  </si>
  <si>
    <r>
      <t>wx</t>
    </r>
    <r>
      <rPr>
        <b/>
        <vertAlign val="superscript"/>
        <sz val="12"/>
        <color theme="1"/>
        <rFont val="Times New Roman"/>
        <family val="1"/>
      </rPr>
      <t>4</t>
    </r>
  </si>
  <si>
    <r>
      <t>wx</t>
    </r>
    <r>
      <rPr>
        <b/>
        <vertAlign val="superscript"/>
        <sz val="12"/>
        <color theme="1"/>
        <rFont val="Times New Roman"/>
        <family val="1"/>
      </rPr>
      <t>3</t>
    </r>
  </si>
  <si>
    <r>
      <t>w⋅x</t>
    </r>
    <r>
      <rPr>
        <b/>
        <vertAlign val="superscript"/>
        <sz val="12"/>
        <color theme="1"/>
        <rFont val="Times New Roman"/>
        <family val="1"/>
      </rPr>
      <t>2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</si>
  <si>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9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</si>
  <si>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8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</si>
  <si>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7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</si>
  <si>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6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</si>
  <si>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5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</si>
  <si>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4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</si>
  <si>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3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</si>
  <si>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2</t>
    </r>
  </si>
  <si>
    <r>
      <t>wx</t>
    </r>
    <r>
      <rPr>
        <b/>
        <i/>
        <sz val="12"/>
        <color theme="1"/>
        <rFont val="Times New Roman"/>
        <family val="1"/>
      </rPr>
      <t>'</t>
    </r>
  </si>
  <si>
    <t>w</t>
  </si>
  <si>
    <r>
      <t>H</t>
    </r>
    <r>
      <rPr>
        <b/>
        <vertAlign val="subscript"/>
        <sz val="12"/>
        <color theme="1"/>
        <rFont val="Times New Roman"/>
        <family val="1"/>
      </rPr>
      <t>9</t>
    </r>
  </si>
  <si>
    <r>
      <t>H</t>
    </r>
    <r>
      <rPr>
        <b/>
        <vertAlign val="subscript"/>
        <sz val="12"/>
        <color theme="1"/>
        <rFont val="Times New Roman"/>
        <family val="1"/>
      </rPr>
      <t>8</t>
    </r>
  </si>
  <si>
    <r>
      <t>H</t>
    </r>
    <r>
      <rPr>
        <b/>
        <vertAlign val="subscript"/>
        <sz val="12"/>
        <color theme="1"/>
        <rFont val="Times New Roman"/>
        <family val="1"/>
      </rPr>
      <t>7</t>
    </r>
  </si>
  <si>
    <r>
      <t>H</t>
    </r>
    <r>
      <rPr>
        <b/>
        <vertAlign val="subscript"/>
        <sz val="12"/>
        <color theme="1"/>
        <rFont val="Times New Roman"/>
        <family val="1"/>
      </rPr>
      <t>6</t>
    </r>
  </si>
  <si>
    <r>
      <t>P</t>
    </r>
    <r>
      <rPr>
        <b/>
        <vertAlign val="subscript"/>
        <sz val="12"/>
        <color theme="1"/>
        <rFont val="Times New Roman"/>
        <family val="1"/>
      </rPr>
      <t>1</t>
    </r>
  </si>
  <si>
    <r>
      <t>P</t>
    </r>
    <r>
      <rPr>
        <b/>
        <vertAlign val="subscript"/>
        <sz val="12"/>
        <color theme="1"/>
        <rFont val="Times New Roman"/>
        <family val="1"/>
      </rPr>
      <t>0</t>
    </r>
  </si>
  <si>
    <r>
      <t>wx</t>
    </r>
    <r>
      <rPr>
        <b/>
        <vertAlign val="superscript"/>
        <sz val="12"/>
        <color theme="1"/>
        <rFont val="Times New Roman"/>
        <family val="1"/>
      </rPr>
      <t>9</t>
    </r>
  </si>
  <si>
    <r>
      <t>wx</t>
    </r>
    <r>
      <rPr>
        <b/>
        <vertAlign val="superscript"/>
        <sz val="12"/>
        <color theme="1"/>
        <rFont val="Times New Roman"/>
        <family val="1"/>
      </rPr>
      <t>8</t>
    </r>
  </si>
  <si>
    <r>
      <t>wx</t>
    </r>
    <r>
      <rPr>
        <b/>
        <vertAlign val="superscript"/>
        <sz val="12"/>
        <color theme="1"/>
        <rFont val="Times New Roman"/>
        <family val="1"/>
      </rPr>
      <t>7</t>
    </r>
  </si>
  <si>
    <r>
      <t>wx</t>
    </r>
    <r>
      <rPr>
        <b/>
        <vertAlign val="superscript"/>
        <sz val="12"/>
        <color theme="1"/>
        <rFont val="Times New Roman"/>
        <family val="1"/>
      </rPr>
      <t>6</t>
    </r>
  </si>
  <si>
    <t>wx</t>
  </si>
  <si>
    <r>
      <t>x</t>
    </r>
    <r>
      <rPr>
        <b/>
        <i/>
        <sz val="12"/>
        <color theme="1"/>
        <rFont val="Times New Roman"/>
        <family val="1"/>
      </rPr>
      <t>'</t>
    </r>
  </si>
  <si>
    <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</si>
  <si>
    <r>
      <t>P= 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-T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</si>
  <si>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Matrix</t>
    </r>
  </si>
  <si>
    <r>
      <t>a</t>
    </r>
    <r>
      <rPr>
        <vertAlign val="subscript"/>
        <sz val="12"/>
        <color rgb="FF000000"/>
        <rFont val="Times New Roman"/>
        <family val="1"/>
      </rPr>
      <t>12</t>
    </r>
  </si>
  <si>
    <r>
      <t>a</t>
    </r>
    <r>
      <rPr>
        <vertAlign val="subscript"/>
        <sz val="12"/>
        <color rgb="FF000000"/>
        <rFont val="Times New Roman"/>
        <family val="1"/>
      </rPr>
      <t>2</t>
    </r>
  </si>
  <si>
    <r>
      <t>a</t>
    </r>
    <r>
      <rPr>
        <vertAlign val="subscript"/>
        <sz val="12"/>
        <color rgb="FF000000"/>
        <rFont val="Times New Roman"/>
        <family val="1"/>
      </rPr>
      <t>1</t>
    </r>
  </si>
  <si>
    <r>
      <t>a</t>
    </r>
    <r>
      <rPr>
        <vertAlign val="subscript"/>
        <sz val="12"/>
        <color rgb="FF000000"/>
        <rFont val="Times New Roman"/>
        <family val="1"/>
      </rPr>
      <t>0</t>
    </r>
  </si>
  <si>
    <r>
      <t>√x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</si>
  <si>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ln x</t>
    </r>
    <r>
      <rPr>
        <b/>
        <vertAlign val="subscript"/>
        <sz val="12"/>
        <color theme="1"/>
        <rFont val="Times New Roman"/>
        <family val="1"/>
      </rPr>
      <t>2</t>
    </r>
  </si>
  <si>
    <r>
      <t>sin x</t>
    </r>
    <r>
      <rPr>
        <b/>
        <vertAlign val="subscript"/>
        <sz val="12"/>
        <color theme="1"/>
        <rFont val="Times New Roman"/>
        <family val="1"/>
      </rPr>
      <t>1</t>
    </r>
  </si>
  <si>
    <t>e</t>
  </si>
  <si>
    <r>
      <t>y</t>
    </r>
    <r>
      <rPr>
        <b/>
        <sz val="12"/>
        <color theme="1"/>
        <rFont val="Calibri"/>
        <family val="2"/>
      </rPr>
      <t>̂</t>
    </r>
  </si>
  <si>
    <t>Original Table</t>
  </si>
  <si>
    <t>=</t>
  </si>
  <si>
    <t>https://real-statistics.com/free-download/</t>
  </si>
  <si>
    <t>These spreadsheets require the Add-in found here:</t>
  </si>
  <si>
    <t>=MMULT(PseudoInv(E3:H11),C3:C11)</t>
  </si>
  <si>
    <t>does not have an attached pathway.  For example, commands should appear as something like</t>
  </si>
  <si>
    <t>=SQRT(DIAG(H7:K10)*D4)</t>
  </si>
  <si>
    <t>=MMULT('C\attached pathway\PseudoInv(E3:H11),C3:C11)</t>
  </si>
  <si>
    <t>If the command appears instead as something like</t>
  </si>
  <si>
    <t>then please strip out the  pathway to give this:</t>
  </si>
  <si>
    <t>=VIF(H$3:L$14,1), etc.</t>
  </si>
  <si>
    <t>Ctrl + Shft + Enter (Windows) or Cmd + Shft + Enter (Mac)</t>
  </si>
  <si>
    <t>Follow the instructions there to add the Real Statistics functions. (Last accessed 3/2/2025)</t>
  </si>
  <si>
    <t>Range commands require that the range be first highlighted and the result given by pressing</t>
  </si>
  <si>
    <t>with the cursor in the formula bar as the key sequence is pressed.</t>
  </si>
  <si>
    <t>That will apply the calculation to the selected range instead of  just one cell.</t>
  </si>
  <si>
    <t>If any cell shows as #######, please check the command line to be sure that the command</t>
  </si>
  <si>
    <t>For example, to apply the MDETERM command to the cells B2:D4, select those cells,</t>
  </si>
  <si>
    <t>place the cursor after the command, and hit Ctrl + Shft + Enter (Windows) or Cmd + Shft + Enter (Mac)</t>
  </si>
  <si>
    <t>See the worksheet "p 109" for an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</si>
</sst>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0.0000"/>
    <numFmt numFmtId="168" formatCode="#,##0.0"/>
    <numFmt numFmtId="169" formatCode="#\ ???/???"/>
  </numFmts>
  <fonts count="63">
    <font>
      <sz val="12"/>
      <color theme="1"/>
      <name val="Calibri"/>
      <family val="2"/>
      <scheme val="minor"/>
    </font>
    <font>
      <sz val="11"/>
      <color theme="1"/>
      <name val="Garamond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vertAlign val="subscript"/>
      <sz val="11"/>
      <color theme="1"/>
      <name val="Garamond"/>
      <family val="1"/>
    </font>
    <font>
      <b/>
      <vertAlign val="superscript"/>
      <sz val="11"/>
      <color theme="1"/>
      <name val="Garamond"/>
      <family val="1"/>
    </font>
    <font>
      <vertAlign val="subscript"/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i/>
      <vertAlign val="subscript"/>
      <sz val="12"/>
      <color theme="1"/>
      <name val="Garamond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  <charset val="2"/>
    </font>
    <font>
      <b/>
      <sz val="12"/>
      <color theme="1"/>
      <name val="PCSB Hebrew"/>
      <charset val="2"/>
    </font>
    <font>
      <b/>
      <vertAlign val="subscript"/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i/>
      <sz val="12"/>
      <color rgb="FF000000"/>
      <name val="Times New Roman"/>
      <family val="1"/>
    </font>
    <font>
      <b/>
      <sz val="12"/>
      <color theme="1"/>
      <name val="Garamond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37" fillId="0" borderId="0"/>
    <xf numFmtId="0" fontId="1" fillId="0" borderId="0"/>
    <xf numFmtId="0" fontId="62" fillId="0" borderId="0" applyNumberFormat="0" applyFill="0" applyBorder="0" applyAlignment="0" applyProtection="0"/>
  </cellStyleXfs>
  <cellXfs count="138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5" fillId="2" borderId="2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164" fontId="9" fillId="0" borderId="14" xfId="0" applyNumberFormat="1" applyFont="1" applyBorder="1" applyAlignment="1">
      <alignment horizontal="center" vertical="center" shrinkToFit="1"/>
    </xf>
    <xf numFmtId="164" fontId="9" fillId="0" borderId="8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/>
    </xf>
    <xf numFmtId="166" fontId="2" fillId="0" borderId="4" xfId="0" applyNumberFormat="1" applyFont="1" applyBorder="1"/>
    <xf numFmtId="166" fontId="2" fillId="0" borderId="0" xfId="0" applyNumberFormat="1" applyFont="1"/>
    <xf numFmtId="166" fontId="2" fillId="0" borderId="14" xfId="0" applyNumberFormat="1" applyFont="1" applyBorder="1"/>
    <xf numFmtId="0" fontId="2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2" borderId="15" xfId="0" applyNumberFormat="1" applyFont="1" applyFill="1" applyBorder="1"/>
    <xf numFmtId="1" fontId="2" fillId="2" borderId="7" xfId="0" applyNumberFormat="1" applyFont="1" applyFill="1" applyBorder="1"/>
    <xf numFmtId="165" fontId="2" fillId="0" borderId="0" xfId="0" applyNumberFormat="1" applyFont="1" applyAlignment="1">
      <alignment shrinkToFit="1"/>
    </xf>
    <xf numFmtId="164" fontId="2" fillId="2" borderId="10" xfId="0" applyNumberFormat="1" applyFont="1" applyFill="1" applyBorder="1"/>
    <xf numFmtId="165" fontId="2" fillId="0" borderId="12" xfId="0" applyNumberFormat="1" applyFont="1" applyBorder="1" applyAlignment="1">
      <alignment shrinkToFit="1"/>
    </xf>
    <xf numFmtId="165" fontId="2" fillId="0" borderId="11" xfId="0" applyNumberFormat="1" applyFont="1" applyBorder="1" applyAlignment="1">
      <alignment shrinkToFit="1"/>
    </xf>
    <xf numFmtId="165" fontId="2" fillId="0" borderId="13" xfId="0" applyNumberFormat="1" applyFont="1" applyBorder="1" applyAlignment="1">
      <alignment shrinkToFit="1"/>
    </xf>
    <xf numFmtId="0" fontId="9" fillId="2" borderId="4" xfId="0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shrinkToFit="1"/>
    </xf>
    <xf numFmtId="9" fontId="2" fillId="0" borderId="4" xfId="0" applyNumberFormat="1" applyFont="1" applyBorder="1"/>
    <xf numFmtId="164" fontId="2" fillId="2" borderId="4" xfId="0" applyNumberFormat="1" applyFont="1" applyFill="1" applyBorder="1"/>
    <xf numFmtId="165" fontId="2" fillId="0" borderId="15" xfId="0" applyNumberFormat="1" applyFont="1" applyBorder="1" applyAlignment="1">
      <alignment shrinkToFit="1"/>
    </xf>
    <xf numFmtId="165" fontId="2" fillId="0" borderId="14" xfId="0" applyNumberFormat="1" applyFont="1" applyBorder="1" applyAlignment="1">
      <alignment shrinkToFit="1"/>
    </xf>
    <xf numFmtId="0" fontId="9" fillId="2" borderId="5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/>
    </xf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8" xfId="0" applyNumberFormat="1" applyFont="1" applyBorder="1"/>
    <xf numFmtId="0" fontId="3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3" fillId="2" borderId="15" xfId="0" applyFont="1" applyFill="1" applyBorder="1" applyAlignment="1">
      <alignment horizontal="center"/>
    </xf>
    <xf numFmtId="3" fontId="2" fillId="0" borderId="11" xfId="0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0" fontId="3" fillId="2" borderId="7" xfId="0" applyFont="1" applyFill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6" xfId="0" applyNumberFormat="1" applyFont="1" applyBorder="1" applyAlignment="1">
      <alignment shrinkToFit="1"/>
    </xf>
    <xf numFmtId="164" fontId="2" fillId="2" borderId="5" xfId="0" applyNumberFormat="1" applyFont="1" applyFill="1" applyBorder="1"/>
    <xf numFmtId="165" fontId="2" fillId="0" borderId="7" xfId="0" applyNumberFormat="1" applyFont="1" applyBorder="1" applyAlignment="1">
      <alignment shrinkToFit="1"/>
    </xf>
    <xf numFmtId="165" fontId="2" fillId="0" borderId="8" xfId="0" applyNumberFormat="1" applyFont="1" applyBorder="1" applyAlignment="1">
      <alignment shrinkToFit="1"/>
    </xf>
    <xf numFmtId="164" fontId="2" fillId="0" borderId="0" xfId="0" applyNumberFormat="1" applyFont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164" fontId="3" fillId="2" borderId="5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2" fillId="0" borderId="7" xfId="0" applyNumberFormat="1" applyFont="1" applyBorder="1"/>
    <xf numFmtId="0" fontId="2" fillId="0" borderId="10" xfId="0" applyFont="1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6" fontId="2" fillId="0" borderId="13" xfId="0" applyNumberFormat="1" applyFont="1" applyBorder="1"/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11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166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11" fillId="0" borderId="0" xfId="1"/>
    <xf numFmtId="164" fontId="11" fillId="0" borderId="0" xfId="1" applyNumberFormat="1" applyAlignment="1">
      <alignment horizontal="center"/>
    </xf>
    <xf numFmtId="0" fontId="11" fillId="0" borderId="0" xfId="1" applyAlignment="1">
      <alignment horizontal="left"/>
    </xf>
    <xf numFmtId="164" fontId="11" fillId="0" borderId="0" xfId="1" applyNumberFormat="1"/>
    <xf numFmtId="167" fontId="11" fillId="0" borderId="0" xfId="1" applyNumberFormat="1" applyAlignment="1">
      <alignment horizontal="center"/>
    </xf>
    <xf numFmtId="0" fontId="11" fillId="0" borderId="8" xfId="1" applyBorder="1" applyAlignment="1">
      <alignment horizontal="center"/>
    </xf>
    <xf numFmtId="0" fontId="11" fillId="0" borderId="6" xfId="1" applyBorder="1" applyAlignment="1">
      <alignment horizontal="center"/>
    </xf>
    <xf numFmtId="0" fontId="11" fillId="0" borderId="5" xfId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1" fillId="0" borderId="8" xfId="1" applyBorder="1"/>
    <xf numFmtId="0" fontId="11" fillId="0" borderId="6" xfId="1" applyBorder="1"/>
    <xf numFmtId="166" fontId="11" fillId="0" borderId="5" xfId="1" applyNumberFormat="1" applyBorder="1" applyAlignment="1">
      <alignment horizontal="center"/>
    </xf>
    <xf numFmtId="167" fontId="11" fillId="0" borderId="8" xfId="1" applyNumberForma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1" fillId="2" borderId="5" xfId="1" applyFill="1" applyBorder="1"/>
    <xf numFmtId="0" fontId="11" fillId="0" borderId="7" xfId="1" applyBorder="1" applyAlignment="1">
      <alignment horizontal="center"/>
    </xf>
    <xf numFmtId="166" fontId="11" fillId="0" borderId="8" xfId="1" applyNumberForma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1" fillId="0" borderId="14" xfId="1" applyBorder="1" applyAlignment="1">
      <alignment horizontal="center"/>
    </xf>
    <xf numFmtId="0" fontId="11" fillId="0" borderId="4" xfId="1" applyBorder="1" applyAlignment="1">
      <alignment horizontal="center"/>
    </xf>
    <xf numFmtId="164" fontId="11" fillId="0" borderId="4" xfId="1" applyNumberFormat="1" applyBorder="1" applyAlignment="1">
      <alignment horizontal="center"/>
    </xf>
    <xf numFmtId="0" fontId="11" fillId="0" borderId="14" xfId="1" applyBorder="1"/>
    <xf numFmtId="166" fontId="11" fillId="0" borderId="10" xfId="1" applyNumberFormat="1" applyBorder="1" applyAlignment="1">
      <alignment horizontal="center"/>
    </xf>
    <xf numFmtId="167" fontId="11" fillId="0" borderId="14" xfId="1" applyNumberFormat="1" applyBorder="1"/>
    <xf numFmtId="0" fontId="12" fillId="0" borderId="15" xfId="1" applyFont="1" applyBorder="1" applyAlignment="1">
      <alignment horizontal="center"/>
    </xf>
    <xf numFmtId="0" fontId="11" fillId="2" borderId="5" xfId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1" fillId="0" borderId="15" xfId="1" applyBorder="1" applyAlignment="1">
      <alignment horizontal="center"/>
    </xf>
    <xf numFmtId="166" fontId="11" fillId="0" borderId="14" xfId="1" applyNumberFormat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167" fontId="11" fillId="0" borderId="16" xfId="1" applyNumberForma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1" fillId="0" borderId="12" xfId="1" applyBorder="1" applyAlignment="1">
      <alignment horizontal="center"/>
    </xf>
    <xf numFmtId="0" fontId="11" fillId="2" borderId="4" xfId="1" applyFill="1" applyBorder="1" applyAlignment="1">
      <alignment horizontal="center"/>
    </xf>
    <xf numFmtId="0" fontId="11" fillId="0" borderId="13" xfId="1" applyBorder="1" applyAlignment="1">
      <alignment horizontal="center"/>
    </xf>
    <xf numFmtId="0" fontId="11" fillId="0" borderId="10" xfId="1" applyBorder="1" applyAlignment="1">
      <alignment horizontal="center"/>
    </xf>
    <xf numFmtId="164" fontId="11" fillId="0" borderId="10" xfId="1" applyNumberFormat="1" applyBorder="1" applyAlignment="1">
      <alignment horizontal="center"/>
    </xf>
    <xf numFmtId="0" fontId="12" fillId="0" borderId="10" xfId="1" applyFont="1" applyBorder="1" applyAlignment="1">
      <alignment horizontal="center"/>
    </xf>
    <xf numFmtId="166" fontId="11" fillId="0" borderId="18" xfId="1" applyNumberFormat="1" applyBorder="1" applyAlignment="1">
      <alignment horizontal="center"/>
    </xf>
    <xf numFmtId="167" fontId="11" fillId="0" borderId="19" xfId="1" applyNumberFormat="1" applyBorder="1" applyAlignment="1">
      <alignment horizontal="center"/>
    </xf>
    <xf numFmtId="0" fontId="11" fillId="0" borderId="20" xfId="1" applyBorder="1" applyAlignment="1">
      <alignment horizontal="center"/>
    </xf>
    <xf numFmtId="0" fontId="11" fillId="0" borderId="21" xfId="1" applyBorder="1" applyAlignment="1">
      <alignment horizontal="center"/>
    </xf>
    <xf numFmtId="0" fontId="11" fillId="0" borderId="18" xfId="1" applyBorder="1" applyAlignment="1">
      <alignment horizontal="center"/>
    </xf>
    <xf numFmtId="0" fontId="11" fillId="0" borderId="18" xfId="1" applyBorder="1" applyAlignment="1">
      <alignment horizontal="right"/>
    </xf>
    <xf numFmtId="0" fontId="11" fillId="0" borderId="11" xfId="1" applyBorder="1" applyAlignment="1">
      <alignment horizontal="center"/>
    </xf>
    <xf numFmtId="166" fontId="11" fillId="0" borderId="13" xfId="1" applyNumberFormat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1" fillId="0" borderId="7" xfId="1" applyBorder="1" applyAlignment="1">
      <alignment horizontal="left"/>
    </xf>
    <xf numFmtId="0" fontId="11" fillId="0" borderId="5" xfId="1" applyBorder="1" applyAlignment="1">
      <alignment horizontal="right"/>
    </xf>
    <xf numFmtId="0" fontId="12" fillId="0" borderId="20" xfId="1" applyFont="1" applyBorder="1" applyAlignment="1">
      <alignment horizontal="center"/>
    </xf>
    <xf numFmtId="166" fontId="11" fillId="0" borderId="9" xfId="1" applyNumberFormat="1" applyBorder="1" applyAlignment="1">
      <alignment horizontal="center"/>
    </xf>
    <xf numFmtId="167" fontId="11" fillId="0" borderId="3" xfId="1" applyNumberFormat="1" applyBorder="1" applyAlignment="1">
      <alignment horizontal="center"/>
    </xf>
    <xf numFmtId="0" fontId="11" fillId="0" borderId="1" xfId="1" applyBorder="1" applyAlignment="1">
      <alignment horizontal="center"/>
    </xf>
    <xf numFmtId="0" fontId="11" fillId="0" borderId="2" xfId="1" applyBorder="1" applyAlignment="1">
      <alignment horizontal="center"/>
    </xf>
    <xf numFmtId="0" fontId="11" fillId="0" borderId="9" xfId="1" applyBorder="1" applyAlignment="1">
      <alignment horizontal="center"/>
    </xf>
    <xf numFmtId="0" fontId="19" fillId="0" borderId="9" xfId="1" applyFont="1" applyBorder="1" applyAlignment="1">
      <alignment horizontal="right"/>
    </xf>
    <xf numFmtId="0" fontId="12" fillId="2" borderId="3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66" fontId="11" fillId="0" borderId="4" xfId="1" applyNumberFormat="1" applyBorder="1" applyAlignment="1">
      <alignment horizontal="center"/>
    </xf>
    <xf numFmtId="167" fontId="11" fillId="0" borderId="14" xfId="1" applyNumberFormat="1" applyBorder="1" applyAlignment="1">
      <alignment horizontal="center"/>
    </xf>
    <xf numFmtId="0" fontId="19" fillId="0" borderId="4" xfId="1" applyFont="1" applyBorder="1" applyAlignment="1">
      <alignment horizontal="right"/>
    </xf>
    <xf numFmtId="167" fontId="11" fillId="0" borderId="13" xfId="1" applyNumberFormat="1" applyBorder="1" applyAlignment="1">
      <alignment horizontal="center"/>
    </xf>
    <xf numFmtId="0" fontId="19" fillId="0" borderId="10" xfId="1" applyFont="1" applyBorder="1" applyAlignment="1">
      <alignment horizontal="right"/>
    </xf>
    <xf numFmtId="0" fontId="12" fillId="2" borderId="13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167" fontId="12" fillId="2" borderId="3" xfId="1" applyNumberFormat="1" applyFont="1" applyFill="1" applyBorder="1" applyAlignment="1">
      <alignment horizontal="center" shrinkToFit="1"/>
    </xf>
    <xf numFmtId="167" fontId="13" fillId="2" borderId="3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12" fillId="0" borderId="9" xfId="1" applyFont="1" applyBorder="1" applyAlignment="1">
      <alignment horizontal="center"/>
    </xf>
    <xf numFmtId="166" fontId="11" fillId="2" borderId="5" xfId="1" applyNumberFormat="1" applyFill="1" applyBorder="1"/>
    <xf numFmtId="0" fontId="11" fillId="0" borderId="7" xfId="1" applyBorder="1"/>
    <xf numFmtId="166" fontId="12" fillId="0" borderId="7" xfId="1" applyNumberFormat="1" applyFont="1" applyBorder="1" applyAlignment="1">
      <alignment horizontal="center"/>
    </xf>
    <xf numFmtId="166" fontId="11" fillId="2" borderId="10" xfId="1" applyNumberFormat="1" applyFill="1" applyBorder="1"/>
    <xf numFmtId="0" fontId="11" fillId="0" borderId="13" xfId="1" applyBorder="1"/>
    <xf numFmtId="0" fontId="11" fillId="0" borderId="11" xfId="1" applyBorder="1"/>
    <xf numFmtId="0" fontId="11" fillId="0" borderId="12" xfId="1" applyBorder="1"/>
    <xf numFmtId="166" fontId="11" fillId="2" borderId="4" xfId="1" applyNumberFormat="1" applyFill="1" applyBorder="1"/>
    <xf numFmtId="0" fontId="11" fillId="0" borderId="15" xfId="1" applyBorder="1"/>
    <xf numFmtId="0" fontId="12" fillId="0" borderId="11" xfId="1" applyFont="1" applyBorder="1" applyAlignment="1">
      <alignment horizontal="center"/>
    </xf>
    <xf numFmtId="166" fontId="11" fillId="0" borderId="3" xfId="1" applyNumberFormat="1" applyBorder="1" applyAlignment="1">
      <alignment horizontal="center"/>
    </xf>
    <xf numFmtId="0" fontId="12" fillId="0" borderId="1" xfId="1" applyFont="1" applyBorder="1" applyAlignment="1">
      <alignment horizontal="center"/>
    </xf>
    <xf numFmtId="166" fontId="11" fillId="2" borderId="9" xfId="1" applyNumberFormat="1" applyFill="1" applyBorder="1"/>
    <xf numFmtId="0" fontId="11" fillId="0" borderId="3" xfId="1" applyBorder="1"/>
    <xf numFmtId="0" fontId="11" fillId="0" borderId="1" xfId="1" applyBorder="1"/>
    <xf numFmtId="0" fontId="11" fillId="0" borderId="2" xfId="1" applyBorder="1"/>
    <xf numFmtId="0" fontId="11" fillId="0" borderId="3" xfId="1" applyBorder="1" applyAlignment="1">
      <alignment horizontal="center"/>
    </xf>
    <xf numFmtId="2" fontId="11" fillId="2" borderId="14" xfId="1" applyNumberFormat="1" applyFill="1" applyBorder="1"/>
    <xf numFmtId="2" fontId="11" fillId="2" borderId="8" xfId="1" applyNumberFormat="1" applyFill="1" applyBorder="1"/>
    <xf numFmtId="2" fontId="11" fillId="2" borderId="13" xfId="1" applyNumberFormat="1" applyFill="1" applyBorder="1"/>
    <xf numFmtId="2" fontId="11" fillId="2" borderId="3" xfId="1" applyNumberFormat="1" applyFill="1" applyBorder="1"/>
    <xf numFmtId="0" fontId="12" fillId="0" borderId="0" xfId="1" applyFont="1" applyAlignment="1">
      <alignment horizontal="center"/>
    </xf>
    <xf numFmtId="0" fontId="12" fillId="2" borderId="10" xfId="1" applyFont="1" applyFill="1" applyBorder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10" xfId="1" applyNumberFormat="1" applyFont="1" applyFill="1" applyBorder="1" applyAlignment="1">
      <alignment horizontal="center"/>
    </xf>
    <xf numFmtId="0" fontId="21" fillId="0" borderId="0" xfId="1" applyFont="1"/>
    <xf numFmtId="164" fontId="2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2" fontId="21" fillId="0" borderId="0" xfId="1" applyNumberFormat="1" applyFont="1" applyAlignment="1">
      <alignment horizont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164" fontId="21" fillId="0" borderId="8" xfId="1" applyNumberFormat="1" applyFont="1" applyBorder="1" applyAlignment="1">
      <alignment horizontal="center"/>
    </xf>
    <xf numFmtId="164" fontId="21" fillId="0" borderId="6" xfId="1" applyNumberFormat="1" applyFont="1" applyBorder="1" applyAlignment="1">
      <alignment horizontal="center" vertical="center"/>
    </xf>
    <xf numFmtId="164" fontId="21" fillId="0" borderId="7" xfId="1" applyNumberFormat="1" applyFont="1" applyBorder="1" applyAlignment="1">
      <alignment horizontal="center"/>
    </xf>
    <xf numFmtId="2" fontId="21" fillId="0" borderId="6" xfId="1" applyNumberFormat="1" applyFont="1" applyBorder="1" applyAlignment="1">
      <alignment horizontal="center"/>
    </xf>
    <xf numFmtId="2" fontId="21" fillId="0" borderId="7" xfId="1" applyNumberFormat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164" fontId="21" fillId="0" borderId="14" xfId="1" applyNumberFormat="1" applyFont="1" applyBorder="1" applyAlignment="1">
      <alignment horizontal="center"/>
    </xf>
    <xf numFmtId="164" fontId="21" fillId="0" borderId="0" xfId="1" applyNumberFormat="1" applyFont="1" applyAlignment="1">
      <alignment horizontal="center" vertical="center"/>
    </xf>
    <xf numFmtId="164" fontId="21" fillId="0" borderId="15" xfId="1" applyNumberFormat="1" applyFont="1" applyBorder="1" applyAlignment="1">
      <alignment horizontal="center"/>
    </xf>
    <xf numFmtId="2" fontId="21" fillId="0" borderId="15" xfId="1" applyNumberFormat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1" fillId="2" borderId="4" xfId="1" applyFont="1" applyFill="1" applyBorder="1" applyAlignment="1">
      <alignment horizontal="center"/>
    </xf>
    <xf numFmtId="164" fontId="21" fillId="0" borderId="8" xfId="1" applyNumberFormat="1" applyFont="1" applyBorder="1"/>
    <xf numFmtId="2" fontId="21" fillId="0" borderId="5" xfId="1" applyNumberFormat="1" applyFont="1" applyBorder="1"/>
    <xf numFmtId="164" fontId="21" fillId="0" borderId="13" xfId="1" applyNumberFormat="1" applyFont="1" applyBorder="1"/>
    <xf numFmtId="164" fontId="21" fillId="0" borderId="10" xfId="1" applyNumberFormat="1" applyFont="1" applyBorder="1"/>
    <xf numFmtId="0" fontId="22" fillId="0" borderId="3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1" fillId="0" borderId="3" xfId="1" applyFont="1" applyBorder="1" applyAlignment="1">
      <alignment wrapText="1"/>
    </xf>
    <xf numFmtId="164" fontId="21" fillId="0" borderId="9" xfId="1" applyNumberFormat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0" borderId="4" xfId="1" applyFont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164" fontId="22" fillId="2" borderId="3" xfId="1" applyNumberFormat="1" applyFont="1" applyFill="1" applyBorder="1" applyAlignment="1">
      <alignment horizontal="center" wrapText="1"/>
    </xf>
    <xf numFmtId="164" fontId="22" fillId="2" borderId="2" xfId="1" applyNumberFormat="1" applyFont="1" applyFill="1" applyBorder="1" applyAlignment="1">
      <alignment horizontal="center" wrapText="1"/>
    </xf>
    <xf numFmtId="164" fontId="22" fillId="2" borderId="1" xfId="1" applyNumberFormat="1" applyFont="1" applyFill="1" applyBorder="1" applyAlignment="1">
      <alignment horizontal="center" wrapText="1"/>
    </xf>
    <xf numFmtId="2" fontId="22" fillId="2" borderId="2" xfId="1" applyNumberFormat="1" applyFont="1" applyFill="1" applyBorder="1" applyAlignment="1">
      <alignment horizontal="center" wrapText="1"/>
    </xf>
    <xf numFmtId="0" fontId="22" fillId="2" borderId="3" xfId="1" applyFont="1" applyFill="1" applyBorder="1" applyAlignment="1">
      <alignment horizont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9" xfId="1" applyFont="1" applyFill="1" applyBorder="1" applyAlignment="1">
      <alignment horizontal="center" wrapText="1"/>
    </xf>
    <xf numFmtId="0" fontId="21" fillId="0" borderId="10" xfId="1" applyFont="1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166" fontId="21" fillId="0" borderId="5" xfId="1" applyNumberFormat="1" applyFont="1" applyBorder="1" applyAlignment="1">
      <alignment horizontal="right" vertical="center"/>
    </xf>
    <xf numFmtId="166" fontId="21" fillId="0" borderId="6" xfId="1" applyNumberFormat="1" applyFont="1" applyBorder="1" applyAlignment="1">
      <alignment horizontal="right" vertical="center"/>
    </xf>
    <xf numFmtId="0" fontId="21" fillId="2" borderId="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1" fillId="2" borderId="5" xfId="1" applyFont="1" applyFill="1" applyBorder="1" applyAlignment="1">
      <alignment vertical="center"/>
    </xf>
    <xf numFmtId="166" fontId="21" fillId="0" borderId="10" xfId="1" applyNumberFormat="1" applyFont="1" applyBorder="1" applyAlignment="1">
      <alignment horizontal="right" vertical="center"/>
    </xf>
    <xf numFmtId="166" fontId="21" fillId="0" borderId="12" xfId="1" applyNumberFormat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1" fontId="21" fillId="0" borderId="13" xfId="1" applyNumberFormat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1" xfId="1" applyFont="1" applyBorder="1" applyAlignment="1">
      <alignment vertical="center"/>
    </xf>
    <xf numFmtId="0" fontId="21" fillId="2" borderId="10" xfId="1" applyFont="1" applyFill="1" applyBorder="1" applyAlignment="1">
      <alignment vertical="center"/>
    </xf>
    <xf numFmtId="2" fontId="21" fillId="0" borderId="0" xfId="1" applyNumberFormat="1" applyFont="1"/>
    <xf numFmtId="164" fontId="21" fillId="0" borderId="0" xfId="1" applyNumberFormat="1" applyFont="1"/>
    <xf numFmtId="166" fontId="21" fillId="0" borderId="0" xfId="1" applyNumberFormat="1" applyFont="1" applyAlignment="1">
      <alignment horizontal="right" vertical="center"/>
    </xf>
    <xf numFmtId="164" fontId="21" fillId="0" borderId="5" xfId="1" applyNumberFormat="1" applyFont="1" applyBorder="1"/>
    <xf numFmtId="166" fontId="11" fillId="0" borderId="14" xfId="1" applyNumberFormat="1" applyBorder="1"/>
    <xf numFmtId="0" fontId="21" fillId="0" borderId="15" xfId="1" applyFont="1" applyBorder="1" applyAlignment="1">
      <alignment horizontal="center" vertical="center"/>
    </xf>
    <xf numFmtId="164" fontId="21" fillId="0" borderId="5" xfId="1" applyNumberFormat="1" applyFont="1" applyBorder="1" applyAlignment="1">
      <alignment vertical="center"/>
    </xf>
    <xf numFmtId="166" fontId="21" fillId="0" borderId="4" xfId="1" applyNumberFormat="1" applyFont="1" applyBorder="1" applyAlignment="1">
      <alignment horizontal="right" vertical="center"/>
    </xf>
    <xf numFmtId="0" fontId="21" fillId="2" borderId="4" xfId="1" applyFont="1" applyFill="1" applyBorder="1" applyAlignment="1">
      <alignment horizontal="center" vertical="center"/>
    </xf>
    <xf numFmtId="164" fontId="21" fillId="0" borderId="4" xfId="1" applyNumberFormat="1" applyFont="1" applyBorder="1"/>
    <xf numFmtId="164" fontId="21" fillId="0" borderId="4" xfId="1" applyNumberFormat="1" applyFont="1" applyBorder="1" applyAlignment="1">
      <alignment vertical="center"/>
    </xf>
    <xf numFmtId="11" fontId="11" fillId="0" borderId="0" xfId="1" applyNumberFormat="1" applyAlignment="1">
      <alignment shrinkToFit="1"/>
    </xf>
    <xf numFmtId="164" fontId="21" fillId="0" borderId="10" xfId="1" applyNumberFormat="1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167" fontId="21" fillId="0" borderId="2" xfId="1" applyNumberFormat="1" applyFont="1" applyBorder="1" applyAlignment="1">
      <alignment vertical="center" shrinkToFit="1"/>
    </xf>
    <xf numFmtId="0" fontId="21" fillId="0" borderId="2" xfId="1" applyFont="1" applyBorder="1" applyAlignment="1">
      <alignment vertical="center"/>
    </xf>
    <xf numFmtId="166" fontId="21" fillId="0" borderId="9" xfId="1" applyNumberFormat="1" applyFont="1" applyBorder="1" applyAlignment="1">
      <alignment vertical="center" shrinkToFit="1"/>
    </xf>
    <xf numFmtId="2" fontId="21" fillId="0" borderId="9" xfId="1" applyNumberFormat="1" applyFont="1" applyBorder="1" applyAlignment="1">
      <alignment horizontal="right" shrinkToFit="1"/>
    </xf>
    <xf numFmtId="2" fontId="21" fillId="0" borderId="9" xfId="1" applyNumberFormat="1" applyFont="1" applyBorder="1" applyAlignment="1">
      <alignment horizontal="right"/>
    </xf>
    <xf numFmtId="0" fontId="22" fillId="2" borderId="1" xfId="1" applyFont="1" applyFill="1" applyBorder="1" applyAlignment="1">
      <alignment horizontal="left" vertical="center"/>
    </xf>
    <xf numFmtId="0" fontId="21" fillId="0" borderId="14" xfId="1" applyFont="1" applyBorder="1" applyAlignment="1">
      <alignment horizontal="center" vertical="center"/>
    </xf>
    <xf numFmtId="167" fontId="21" fillId="0" borderId="0" xfId="1" applyNumberFormat="1" applyFont="1" applyAlignment="1">
      <alignment vertical="center" shrinkToFit="1"/>
    </xf>
    <xf numFmtId="2" fontId="21" fillId="0" borderId="4" xfId="1" applyNumberFormat="1" applyFont="1" applyBorder="1" applyAlignment="1">
      <alignment vertical="center" shrinkToFit="1"/>
    </xf>
    <xf numFmtId="2" fontId="21" fillId="0" borderId="4" xfId="1" applyNumberFormat="1" applyFont="1" applyBorder="1" applyAlignment="1">
      <alignment horizontal="right" shrinkToFit="1"/>
    </xf>
    <xf numFmtId="0" fontId="22" fillId="0" borderId="4" xfId="1" applyFont="1" applyBorder="1" applyAlignment="1">
      <alignment horizontal="center"/>
    </xf>
    <xf numFmtId="0" fontId="22" fillId="2" borderId="15" xfId="1" applyFont="1" applyFill="1" applyBorder="1" applyAlignment="1">
      <alignment horizontal="left" vertical="center"/>
    </xf>
    <xf numFmtId="166" fontId="21" fillId="0" borderId="4" xfId="1" applyNumberFormat="1" applyFont="1" applyBorder="1" applyAlignment="1">
      <alignment vertical="center" shrinkToFit="1"/>
    </xf>
    <xf numFmtId="2" fontId="21" fillId="0" borderId="10" xfId="1" applyNumberFormat="1" applyFont="1" applyBorder="1" applyAlignment="1">
      <alignment vertical="center" shrinkToFit="1"/>
    </xf>
    <xf numFmtId="2" fontId="21" fillId="0" borderId="10" xfId="1" applyNumberFormat="1" applyFont="1" applyBorder="1" applyAlignment="1">
      <alignment horizontal="right" shrinkToFit="1"/>
    </xf>
    <xf numFmtId="0" fontId="22" fillId="0" borderId="10" xfId="1" applyFont="1" applyBorder="1" applyAlignment="1">
      <alignment horizontal="center"/>
    </xf>
    <xf numFmtId="0" fontId="21" fillId="0" borderId="9" xfId="1" applyFont="1" applyBorder="1" applyAlignment="1">
      <alignment horizontal="center" vertical="center"/>
    </xf>
    <xf numFmtId="2" fontId="21" fillId="0" borderId="9" xfId="1" applyNumberFormat="1" applyFont="1" applyBorder="1" applyAlignment="1">
      <alignment vertical="center" shrinkToFit="1"/>
    </xf>
    <xf numFmtId="0" fontId="22" fillId="2" borderId="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 wrapText="1"/>
    </xf>
    <xf numFmtId="0" fontId="21" fillId="0" borderId="9" xfId="1" applyFont="1" applyBorder="1"/>
    <xf numFmtId="0" fontId="21" fillId="2" borderId="9" xfId="1" applyFont="1" applyFill="1" applyBorder="1" applyAlignment="1">
      <alignment horizontal="center" vertical="center"/>
    </xf>
    <xf numFmtId="0" fontId="21" fillId="0" borderId="9" xfId="1" applyFont="1" applyBorder="1" applyAlignment="1">
      <alignment vertical="center"/>
    </xf>
    <xf numFmtId="0" fontId="23" fillId="2" borderId="9" xfId="1" applyFont="1" applyFill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0" fontId="22" fillId="2" borderId="14" xfId="1" applyFont="1" applyFill="1" applyBorder="1" applyAlignment="1">
      <alignment horizontal="center" vertical="center"/>
    </xf>
    <xf numFmtId="167" fontId="21" fillId="0" borderId="0" xfId="1" applyNumberFormat="1" applyFont="1" applyAlignment="1">
      <alignment vertical="center"/>
    </xf>
    <xf numFmtId="0" fontId="21" fillId="0" borderId="13" xfId="1" applyFont="1" applyBorder="1" applyAlignment="1">
      <alignment vertical="center"/>
    </xf>
    <xf numFmtId="3" fontId="21" fillId="0" borderId="0" xfId="1" applyNumberFormat="1" applyFont="1" applyAlignment="1">
      <alignment vertical="center"/>
    </xf>
    <xf numFmtId="0" fontId="21" fillId="0" borderId="15" xfId="1" applyFont="1" applyBorder="1" applyAlignment="1">
      <alignment vertical="center"/>
    </xf>
    <xf numFmtId="168" fontId="21" fillId="0" borderId="0" xfId="1" applyNumberFormat="1" applyFont="1" applyAlignment="1">
      <alignment vertical="center" shrinkToFit="1"/>
    </xf>
    <xf numFmtId="0" fontId="22" fillId="2" borderId="13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2" fontId="21" fillId="0" borderId="14" xfId="1" applyNumberFormat="1" applyFont="1" applyBorder="1" applyAlignment="1">
      <alignment vertical="center" shrinkToFit="1"/>
    </xf>
    <xf numFmtId="2" fontId="21" fillId="0" borderId="6" xfId="1" applyNumberFormat="1" applyFont="1" applyBorder="1" applyAlignment="1">
      <alignment vertical="center" shrinkToFit="1"/>
    </xf>
    <xf numFmtId="2" fontId="21" fillId="0" borderId="8" xfId="1" applyNumberFormat="1" applyFont="1" applyBorder="1" applyAlignment="1">
      <alignment vertical="center" shrinkToFit="1"/>
    </xf>
    <xf numFmtId="2" fontId="21" fillId="0" borderId="0" xfId="1" applyNumberFormat="1" applyFont="1" applyAlignment="1">
      <alignment vertical="center" shrinkToFit="1"/>
    </xf>
    <xf numFmtId="2" fontId="21" fillId="0" borderId="3" xfId="1" applyNumberFormat="1" applyFont="1" applyBorder="1" applyAlignment="1">
      <alignment vertical="center" shrinkToFit="1"/>
    </xf>
    <xf numFmtId="2" fontId="21" fillId="0" borderId="2" xfId="1" applyNumberFormat="1" applyFont="1" applyBorder="1" applyAlignment="1">
      <alignment vertical="center" shrinkToFit="1"/>
    </xf>
    <xf numFmtId="166" fontId="11" fillId="0" borderId="13" xfId="1" applyNumberFormat="1" applyBorder="1"/>
    <xf numFmtId="0" fontId="21" fillId="0" borderId="0" xfId="1" applyFont="1" applyAlignment="1">
      <alignment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164" fontId="22" fillId="2" borderId="2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wrapText="1"/>
    </xf>
    <xf numFmtId="166" fontId="21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2" fontId="21" fillId="0" borderId="8" xfId="1" applyNumberFormat="1" applyFont="1" applyBorder="1" applyAlignment="1">
      <alignment vertical="center"/>
    </xf>
    <xf numFmtId="2" fontId="21" fillId="0" borderId="6" xfId="1" applyNumberFormat="1" applyFont="1" applyBorder="1" applyAlignment="1">
      <alignment vertical="center"/>
    </xf>
    <xf numFmtId="2" fontId="21" fillId="0" borderId="7" xfId="1" applyNumberFormat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2" fontId="21" fillId="0" borderId="14" xfId="1" applyNumberFormat="1" applyFont="1" applyBorder="1" applyAlignment="1">
      <alignment vertical="center"/>
    </xf>
    <xf numFmtId="2" fontId="21" fillId="0" borderId="0" xfId="1" applyNumberFormat="1" applyFont="1" applyAlignment="1">
      <alignment vertical="center"/>
    </xf>
    <xf numFmtId="2" fontId="21" fillId="0" borderId="15" xfId="1" applyNumberFormat="1" applyFont="1" applyBorder="1" applyAlignment="1">
      <alignment vertical="center"/>
    </xf>
    <xf numFmtId="0" fontId="22" fillId="0" borderId="4" xfId="1" applyFont="1" applyBorder="1" applyAlignment="1">
      <alignment horizontal="center" vertical="center"/>
    </xf>
    <xf numFmtId="2" fontId="21" fillId="0" borderId="13" xfId="1" applyNumberFormat="1" applyFont="1" applyBorder="1" applyAlignment="1">
      <alignment vertical="center"/>
    </xf>
    <xf numFmtId="2" fontId="21" fillId="0" borderId="12" xfId="1" applyNumberFormat="1" applyFont="1" applyBorder="1" applyAlignment="1">
      <alignment vertical="center"/>
    </xf>
    <xf numFmtId="2" fontId="21" fillId="0" borderId="11" xfId="1" applyNumberFormat="1" applyFont="1" applyBorder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166" fontId="21" fillId="0" borderId="8" xfId="1" applyNumberFormat="1" applyFont="1" applyBorder="1" applyAlignment="1">
      <alignment vertical="center" shrinkToFit="1"/>
    </xf>
    <xf numFmtId="166" fontId="21" fillId="0" borderId="6" xfId="1" applyNumberFormat="1" applyFont="1" applyBorder="1" applyAlignment="1">
      <alignment vertical="center" shrinkToFit="1"/>
    </xf>
    <xf numFmtId="166" fontId="21" fillId="0" borderId="7" xfId="1" applyNumberFormat="1" applyFont="1" applyBorder="1" applyAlignment="1">
      <alignment vertical="center" shrinkToFit="1"/>
    </xf>
    <xf numFmtId="166" fontId="21" fillId="0" borderId="14" xfId="1" applyNumberFormat="1" applyFont="1" applyBorder="1" applyAlignment="1">
      <alignment vertical="center" shrinkToFit="1"/>
    </xf>
    <xf numFmtId="166" fontId="21" fillId="0" borderId="0" xfId="1" applyNumberFormat="1" applyFont="1" applyAlignment="1">
      <alignment vertical="center" shrinkToFit="1"/>
    </xf>
    <xf numFmtId="166" fontId="21" fillId="0" borderId="15" xfId="1" applyNumberFormat="1" applyFont="1" applyBorder="1" applyAlignment="1">
      <alignment vertical="center" shrinkToFit="1"/>
    </xf>
    <xf numFmtId="166" fontId="21" fillId="0" borderId="13" xfId="1" applyNumberFormat="1" applyFont="1" applyBorder="1" applyAlignment="1">
      <alignment vertical="center" shrinkToFit="1"/>
    </xf>
    <xf numFmtId="166" fontId="21" fillId="0" borderId="12" xfId="1" applyNumberFormat="1" applyFont="1" applyBorder="1" applyAlignment="1">
      <alignment vertical="center" shrinkToFit="1"/>
    </xf>
    <xf numFmtId="166" fontId="21" fillId="0" borderId="11" xfId="1" applyNumberFormat="1" applyFont="1" applyBorder="1" applyAlignment="1">
      <alignment vertical="center" shrinkToFit="1"/>
    </xf>
    <xf numFmtId="166" fontId="21" fillId="0" borderId="3" xfId="1" applyNumberFormat="1" applyFont="1" applyBorder="1" applyAlignment="1">
      <alignment vertical="center"/>
    </xf>
    <xf numFmtId="166" fontId="21" fillId="0" borderId="2" xfId="1" applyNumberFormat="1" applyFont="1" applyBorder="1" applyAlignment="1">
      <alignment vertical="center"/>
    </xf>
    <xf numFmtId="166" fontId="21" fillId="0" borderId="1" xfId="1" applyNumberFormat="1" applyFont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1" fillId="0" borderId="8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66" fontId="21" fillId="0" borderId="8" xfId="1" applyNumberFormat="1" applyFont="1" applyBorder="1" applyAlignment="1">
      <alignment vertical="center"/>
    </xf>
    <xf numFmtId="166" fontId="21" fillId="0" borderId="6" xfId="1" applyNumberFormat="1" applyFont="1" applyBorder="1" applyAlignment="1">
      <alignment vertical="center"/>
    </xf>
    <xf numFmtId="166" fontId="21" fillId="0" borderId="7" xfId="1" applyNumberFormat="1" applyFont="1" applyBorder="1" applyAlignment="1">
      <alignment vertical="center"/>
    </xf>
    <xf numFmtId="166" fontId="22" fillId="0" borderId="5" xfId="1" applyNumberFormat="1" applyFont="1" applyBorder="1" applyAlignment="1">
      <alignment horizontal="center" vertical="center"/>
    </xf>
    <xf numFmtId="166" fontId="21" fillId="0" borderId="13" xfId="1" applyNumberFormat="1" applyFont="1" applyBorder="1" applyAlignment="1">
      <alignment vertical="center"/>
    </xf>
    <xf numFmtId="166" fontId="21" fillId="0" borderId="12" xfId="1" applyNumberFormat="1" applyFont="1" applyBorder="1" applyAlignment="1">
      <alignment vertical="center"/>
    </xf>
    <xf numFmtId="166" fontId="21" fillId="0" borderId="11" xfId="1" applyNumberFormat="1" applyFont="1" applyBorder="1" applyAlignment="1">
      <alignment vertical="center"/>
    </xf>
    <xf numFmtId="166" fontId="22" fillId="0" borderId="10" xfId="1" applyNumberFormat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7" fontId="21" fillId="0" borderId="13" xfId="1" applyNumberFormat="1" applyFont="1" applyBorder="1" applyAlignment="1">
      <alignment vertical="center"/>
    </xf>
    <xf numFmtId="167" fontId="21" fillId="0" borderId="12" xfId="1" applyNumberFormat="1" applyFont="1" applyBorder="1" applyAlignment="1">
      <alignment vertical="center"/>
    </xf>
    <xf numFmtId="167" fontId="21" fillId="0" borderId="11" xfId="1" applyNumberFormat="1" applyFont="1" applyBorder="1" applyAlignment="1">
      <alignment vertical="center"/>
    </xf>
    <xf numFmtId="0" fontId="22" fillId="0" borderId="10" xfId="1" applyFont="1" applyBorder="1" applyAlignment="1">
      <alignment horizontal="center" vertical="center"/>
    </xf>
    <xf numFmtId="1" fontId="21" fillId="0" borderId="5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1" fontId="21" fillId="0" borderId="4" xfId="1" applyNumberFormat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/>
    </xf>
    <xf numFmtId="166" fontId="21" fillId="0" borderId="8" xfId="1" applyNumberFormat="1" applyFont="1" applyBorder="1" applyAlignment="1">
      <alignment horizontal="right" vertical="center"/>
    </xf>
    <xf numFmtId="0" fontId="21" fillId="0" borderId="3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1" fontId="21" fillId="0" borderId="3" xfId="1" applyNumberFormat="1" applyFont="1" applyBorder="1" applyAlignment="1">
      <alignment horizontal="center" vertical="center" shrinkToFit="1"/>
    </xf>
    <xf numFmtId="1" fontId="21" fillId="0" borderId="2" xfId="1" applyNumberFormat="1" applyFont="1" applyBorder="1" applyAlignment="1">
      <alignment horizontal="center" vertical="center" shrinkToFit="1"/>
    </xf>
    <xf numFmtId="1" fontId="21" fillId="0" borderId="9" xfId="1" applyNumberFormat="1" applyFont="1" applyBorder="1" applyAlignment="1">
      <alignment horizontal="center" vertical="center" shrinkToFit="1"/>
    </xf>
    <xf numFmtId="166" fontId="21" fillId="0" borderId="13" xfId="1" applyNumberFormat="1" applyFont="1" applyBorder="1" applyAlignment="1">
      <alignment horizontal="right" vertical="center"/>
    </xf>
    <xf numFmtId="164" fontId="21" fillId="0" borderId="8" xfId="1" applyNumberFormat="1" applyFont="1" applyBorder="1" applyAlignment="1">
      <alignment vertical="center"/>
    </xf>
    <xf numFmtId="164" fontId="21" fillId="0" borderId="6" xfId="1" applyNumberFormat="1" applyFont="1" applyBorder="1" applyAlignment="1">
      <alignment vertical="center"/>
    </xf>
    <xf numFmtId="164" fontId="21" fillId="0" borderId="7" xfId="1" applyNumberFormat="1" applyFont="1" applyBorder="1" applyAlignment="1">
      <alignment vertical="center"/>
    </xf>
    <xf numFmtId="0" fontId="22" fillId="2" borderId="1" xfId="1" applyFont="1" applyFill="1" applyBorder="1" applyAlignment="1">
      <alignment horizontal="center" vertical="center" wrapText="1"/>
    </xf>
    <xf numFmtId="164" fontId="21" fillId="0" borderId="14" xfId="1" applyNumberFormat="1" applyFont="1" applyBorder="1" applyAlignment="1">
      <alignment vertical="center"/>
    </xf>
    <xf numFmtId="164" fontId="21" fillId="0" borderId="15" xfId="1" applyNumberFormat="1" applyFont="1" applyBorder="1" applyAlignment="1">
      <alignment vertical="center"/>
    </xf>
    <xf numFmtId="166" fontId="21" fillId="0" borderId="14" xfId="1" applyNumberFormat="1" applyFont="1" applyBorder="1" applyAlignment="1">
      <alignment horizontal="right" vertical="center"/>
    </xf>
    <xf numFmtId="2" fontId="21" fillId="0" borderId="7" xfId="1" applyNumberFormat="1" applyFont="1" applyBorder="1" applyAlignment="1">
      <alignment vertical="center" shrinkToFit="1"/>
    </xf>
    <xf numFmtId="2" fontId="21" fillId="0" borderId="15" xfId="1" applyNumberFormat="1" applyFont="1" applyBorder="1" applyAlignment="1">
      <alignment vertical="center" shrinkToFit="1"/>
    </xf>
    <xf numFmtId="167" fontId="21" fillId="0" borderId="9" xfId="1" applyNumberFormat="1" applyFont="1" applyBorder="1" applyAlignment="1">
      <alignment horizontal="center" vertical="center" shrinkToFit="1"/>
    </xf>
    <xf numFmtId="1" fontId="21" fillId="0" borderId="1" xfId="1" applyNumberFormat="1" applyFont="1" applyBorder="1" applyAlignment="1">
      <alignment horizontal="center" vertical="center" shrinkToFit="1"/>
    </xf>
    <xf numFmtId="164" fontId="21" fillId="0" borderId="13" xfId="1" applyNumberFormat="1" applyFont="1" applyBorder="1" applyAlignment="1">
      <alignment vertical="center"/>
    </xf>
    <xf numFmtId="164" fontId="21" fillId="0" borderId="12" xfId="1" applyNumberFormat="1" applyFont="1" applyBorder="1" applyAlignment="1">
      <alignment vertical="center"/>
    </xf>
    <xf numFmtId="164" fontId="21" fillId="0" borderId="11" xfId="1" applyNumberFormat="1" applyFont="1" applyBorder="1" applyAlignment="1">
      <alignment vertical="center"/>
    </xf>
    <xf numFmtId="167" fontId="21" fillId="0" borderId="6" xfId="1" applyNumberFormat="1" applyFont="1" applyBorder="1" applyAlignment="1">
      <alignment vertical="center" shrinkToFit="1"/>
    </xf>
    <xf numFmtId="0" fontId="22" fillId="2" borderId="6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2" fontId="21" fillId="0" borderId="13" xfId="1" applyNumberFormat="1" applyFont="1" applyBorder="1" applyAlignment="1">
      <alignment vertical="center" shrinkToFit="1"/>
    </xf>
    <xf numFmtId="2" fontId="21" fillId="0" borderId="12" xfId="1" applyNumberFormat="1" applyFont="1" applyBorder="1" applyAlignment="1">
      <alignment vertical="center" shrinkToFit="1"/>
    </xf>
    <xf numFmtId="1" fontId="21" fillId="0" borderId="10" xfId="1" applyNumberFormat="1" applyFont="1" applyBorder="1" applyAlignment="1">
      <alignment horizontal="center" vertical="center" shrinkToFit="1"/>
    </xf>
    <xf numFmtId="2" fontId="21" fillId="0" borderId="11" xfId="1" applyNumberFormat="1" applyFont="1" applyBorder="1" applyAlignment="1">
      <alignment vertical="center" shrinkToFit="1"/>
    </xf>
    <xf numFmtId="0" fontId="22" fillId="2" borderId="0" xfId="1" applyFont="1" applyFill="1" applyAlignment="1">
      <alignment vertical="center"/>
    </xf>
    <xf numFmtId="164" fontId="22" fillId="2" borderId="3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167" fontId="2" fillId="0" borderId="5" xfId="0" applyNumberFormat="1" applyFont="1" applyBorder="1" applyAlignment="1">
      <alignment horizontal="center" shrinkToFit="1"/>
    </xf>
    <xf numFmtId="0" fontId="3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7" fontId="2" fillId="0" borderId="4" xfId="0" applyNumberFormat="1" applyFont="1" applyBorder="1" applyAlignment="1">
      <alignment horizontal="center" shrinkToFit="1"/>
    </xf>
    <xf numFmtId="0" fontId="2" fillId="0" borderId="4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67" fontId="2" fillId="0" borderId="9" xfId="0" applyNumberFormat="1" applyFont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2" xfId="0" applyFont="1" applyBorder="1"/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0" xfId="0" applyFont="1" applyFill="1"/>
    <xf numFmtId="0" fontId="8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166" fontId="2" fillId="0" borderId="5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0" fillId="0" borderId="5" xfId="0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1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6" fontId="2" fillId="2" borderId="5" xfId="0" applyNumberFormat="1" applyFont="1" applyFill="1" applyBorder="1"/>
    <xf numFmtId="164" fontId="35" fillId="2" borderId="6" xfId="0" applyNumberFormat="1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6" fontId="2" fillId="2" borderId="4" xfId="0" applyNumberFormat="1" applyFont="1" applyFill="1" applyBorder="1"/>
    <xf numFmtId="164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6" fontId="2" fillId="2" borderId="10" xfId="0" applyNumberFormat="1" applyFont="1" applyFill="1" applyBorder="1"/>
    <xf numFmtId="164" fontId="35" fillId="2" borderId="12" xfId="0" applyNumberFormat="1" applyFont="1" applyFill="1" applyBorder="1" applyAlignment="1">
      <alignment horizontal="center"/>
    </xf>
    <xf numFmtId="0" fontId="35" fillId="2" borderId="12" xfId="0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shrinkToFit="1"/>
    </xf>
    <xf numFmtId="0" fontId="5" fillId="2" borderId="3" xfId="0" applyFont="1" applyFill="1" applyBorder="1"/>
    <xf numFmtId="0" fontId="3" fillId="2" borderId="11" xfId="0" applyFont="1" applyFill="1" applyBorder="1" applyAlignment="1">
      <alignment horizontal="center" shrinkToFit="1"/>
    </xf>
    <xf numFmtId="166" fontId="2" fillId="0" borderId="11" xfId="0" applyNumberFormat="1" applyFont="1" applyBorder="1" applyAlignment="1">
      <alignment horizontal="right"/>
    </xf>
    <xf numFmtId="166" fontId="2" fillId="0" borderId="12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6" fontId="2" fillId="0" borderId="7" xfId="0" applyNumberFormat="1" applyFont="1" applyBorder="1"/>
    <xf numFmtId="0" fontId="3" fillId="0" borderId="5" xfId="0" applyFont="1" applyBorder="1" applyAlignment="1">
      <alignment horizontal="center"/>
    </xf>
    <xf numFmtId="166" fontId="2" fillId="0" borderId="15" xfId="0" applyNumberFormat="1" applyFont="1" applyBorder="1"/>
    <xf numFmtId="0" fontId="3" fillId="0" borderId="4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6" fontId="2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2" fillId="0" borderId="8" xfId="0" applyNumberFormat="1" applyFont="1" applyBorder="1"/>
    <xf numFmtId="166" fontId="2" fillId="0" borderId="9" xfId="0" applyNumberFormat="1" applyFont="1" applyBorder="1"/>
    <xf numFmtId="166" fontId="2" fillId="0" borderId="12" xfId="0" applyNumberFormat="1" applyFont="1" applyBorder="1"/>
    <xf numFmtId="166" fontId="2" fillId="0" borderId="11" xfId="0" applyNumberFormat="1" applyFont="1" applyBorder="1"/>
    <xf numFmtId="0" fontId="3" fillId="2" borderId="9" xfId="0" applyFon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38" fillId="0" borderId="0" xfId="2" applyFont="1" applyAlignment="1">
      <alignment horizontal="center" vertical="center"/>
    </xf>
    <xf numFmtId="0" fontId="37" fillId="0" borderId="0" xfId="2"/>
    <xf numFmtId="0" fontId="38" fillId="0" borderId="14" xfId="2" applyFont="1" applyBorder="1" applyAlignment="1">
      <alignment horizontal="center" vertical="center"/>
    </xf>
    <xf numFmtId="165" fontId="38" fillId="0" borderId="4" xfId="2" applyNumberFormat="1" applyFont="1" applyBorder="1" applyAlignment="1">
      <alignment horizontal="center" vertical="center"/>
    </xf>
    <xf numFmtId="165" fontId="40" fillId="0" borderId="9" xfId="2" applyNumberFormat="1" applyFont="1" applyBorder="1" applyAlignment="1">
      <alignment horizontal="center" vertical="center" shrinkToFit="1"/>
    </xf>
    <xf numFmtId="165" fontId="40" fillId="2" borderId="9" xfId="2" applyNumberFormat="1" applyFont="1" applyFill="1" applyBorder="1" applyAlignment="1">
      <alignment horizontal="center" vertical="center" shrinkToFit="1"/>
    </xf>
    <xf numFmtId="0" fontId="38" fillId="0" borderId="8" xfId="2" applyFont="1" applyBorder="1" applyAlignment="1">
      <alignment horizontal="center" vertical="center"/>
    </xf>
    <xf numFmtId="0" fontId="38" fillId="0" borderId="6" xfId="2" applyFont="1" applyBorder="1" applyAlignment="1">
      <alignment horizontal="center" vertical="center"/>
    </xf>
    <xf numFmtId="165" fontId="38" fillId="0" borderId="5" xfId="2" applyNumberFormat="1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165" fontId="40" fillId="0" borderId="3" xfId="2" applyNumberFormat="1" applyFont="1" applyBorder="1" applyAlignment="1">
      <alignment horizontal="center" vertical="center" shrinkToFit="1"/>
    </xf>
    <xf numFmtId="0" fontId="40" fillId="2" borderId="9" xfId="2" applyFont="1" applyFill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165" fontId="38" fillId="0" borderId="7" xfId="2" applyNumberFormat="1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/>
    </xf>
    <xf numFmtId="165" fontId="38" fillId="0" borderId="15" xfId="2" applyNumberFormat="1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38" fillId="0" borderId="12" xfId="2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165" fontId="38" fillId="0" borderId="11" xfId="2" applyNumberFormat="1" applyFont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 wrapText="1"/>
    </xf>
    <xf numFmtId="165" fontId="38" fillId="0" borderId="10" xfId="2" applyNumberFormat="1" applyFont="1" applyBorder="1" applyAlignment="1">
      <alignment horizontal="center" vertical="center"/>
    </xf>
    <xf numFmtId="0" fontId="40" fillId="2" borderId="3" xfId="2" applyFont="1" applyFill="1" applyBorder="1" applyAlignment="1">
      <alignment horizontal="center" vertical="center"/>
    </xf>
    <xf numFmtId="0" fontId="40" fillId="2" borderId="2" xfId="2" applyFont="1" applyFill="1" applyBorder="1" applyAlignment="1">
      <alignment horizontal="center" vertical="center"/>
    </xf>
    <xf numFmtId="0" fontId="40" fillId="2" borderId="11" xfId="2" applyFont="1" applyFill="1" applyBorder="1" applyAlignment="1">
      <alignment horizontal="center" vertical="center"/>
    </xf>
    <xf numFmtId="0" fontId="40" fillId="2" borderId="12" xfId="2" applyFont="1" applyFill="1" applyBorder="1" applyAlignment="1">
      <alignment horizontal="center" vertical="center"/>
    </xf>
    <xf numFmtId="0" fontId="40" fillId="2" borderId="13" xfId="2" applyFont="1" applyFill="1" applyBorder="1" applyAlignment="1">
      <alignment horizontal="center" vertical="center"/>
    </xf>
    <xf numFmtId="0" fontId="40" fillId="2" borderId="1" xfId="2" applyFont="1" applyFill="1" applyBorder="1" applyAlignment="1">
      <alignment horizontal="center" vertical="center"/>
    </xf>
    <xf numFmtId="0" fontId="42" fillId="2" borderId="3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6" fontId="22" fillId="2" borderId="1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3" xfId="0" applyFill="1" applyBorder="1"/>
    <xf numFmtId="0" fontId="5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1" fillId="0" borderId="5" xfId="1" applyBorder="1" applyAlignment="1">
      <alignment horizontal="center" vertical="center"/>
    </xf>
    <xf numFmtId="0" fontId="11" fillId="0" borderId="3" xfId="1" applyBorder="1" applyAlignment="1">
      <alignment vertical="center"/>
    </xf>
    <xf numFmtId="0" fontId="22" fillId="2" borderId="1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1" fillId="0" borderId="2" xfId="1" applyBorder="1" applyAlignment="1">
      <alignment horizontal="center" vertical="center"/>
    </xf>
    <xf numFmtId="0" fontId="11" fillId="0" borderId="3" xfId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1" fillId="2" borderId="2" xfId="1" applyFill="1" applyBorder="1" applyAlignment="1">
      <alignment horizontal="center"/>
    </xf>
    <xf numFmtId="0" fontId="11" fillId="2" borderId="3" xfId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/>
    </xf>
    <xf numFmtId="0" fontId="11" fillId="2" borderId="5" xfId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1" fillId="0" borderId="2" xfId="1" applyBorder="1" applyAlignment="1">
      <alignment horizontal="center"/>
    </xf>
    <xf numFmtId="0" fontId="11" fillId="0" borderId="3" xfId="1" applyBorder="1" applyAlignment="1">
      <alignment horizontal="center"/>
    </xf>
    <xf numFmtId="0" fontId="11" fillId="0" borderId="11" xfId="1" applyBorder="1" applyAlignment="1">
      <alignment horizontal="left"/>
    </xf>
    <xf numFmtId="0" fontId="11" fillId="0" borderId="12" xfId="1" applyBorder="1" applyAlignment="1">
      <alignment horizontal="left"/>
    </xf>
    <xf numFmtId="0" fontId="11" fillId="0" borderId="13" xfId="1" applyBorder="1" applyAlignment="1">
      <alignment horizontal="left"/>
    </xf>
    <xf numFmtId="0" fontId="11" fillId="0" borderId="15" xfId="1" applyBorder="1" applyAlignment="1">
      <alignment horizontal="left"/>
    </xf>
    <xf numFmtId="0" fontId="11" fillId="0" borderId="0" xfId="1" applyAlignment="1">
      <alignment horizontal="left"/>
    </xf>
    <xf numFmtId="0" fontId="11" fillId="0" borderId="14" xfId="1" applyBorder="1" applyAlignment="1">
      <alignment horizontal="left"/>
    </xf>
    <xf numFmtId="0" fontId="11" fillId="0" borderId="7" xfId="1" applyBorder="1" applyAlignment="1">
      <alignment horizontal="left"/>
    </xf>
    <xf numFmtId="0" fontId="11" fillId="0" borderId="6" xfId="1" applyBorder="1" applyAlignment="1">
      <alignment horizontal="left"/>
    </xf>
    <xf numFmtId="0" fontId="11" fillId="0" borderId="8" xfId="1" applyBorder="1" applyAlignment="1">
      <alignment horizontal="left"/>
    </xf>
    <xf numFmtId="0" fontId="12" fillId="2" borderId="15" xfId="1" applyFont="1" applyFill="1" applyBorder="1" applyAlignment="1">
      <alignment horizontal="center" shrinkToFit="1"/>
    </xf>
    <xf numFmtId="0" fontId="12" fillId="2" borderId="14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1" fillId="0" borderId="1" xfId="1" applyBorder="1" applyAlignment="1">
      <alignment horizontal="left"/>
    </xf>
    <xf numFmtId="0" fontId="11" fillId="0" borderId="2" xfId="1" applyBorder="1" applyAlignment="1">
      <alignment horizontal="left"/>
    </xf>
    <xf numFmtId="0" fontId="11" fillId="0" borderId="3" xfId="1" applyBorder="1" applyAlignment="1">
      <alignment horizontal="left"/>
    </xf>
    <xf numFmtId="0" fontId="11" fillId="2" borderId="7" xfId="1" applyFill="1" applyBorder="1" applyAlignment="1">
      <alignment horizontal="center"/>
    </xf>
    <xf numFmtId="0" fontId="11" fillId="2" borderId="8" xfId="1" applyFill="1" applyBorder="1" applyAlignment="1">
      <alignment horizontal="center"/>
    </xf>
    <xf numFmtId="0" fontId="12" fillId="2" borderId="20" xfId="1" applyFont="1" applyFill="1" applyBorder="1" applyAlignment="1">
      <alignment horizontal="center" shrinkToFit="1"/>
    </xf>
    <xf numFmtId="0" fontId="12" fillId="2" borderId="19" xfId="1" applyFont="1" applyFill="1" applyBorder="1" applyAlignment="1">
      <alignment horizontal="center" shrinkToFit="1"/>
    </xf>
    <xf numFmtId="0" fontId="12" fillId="2" borderId="20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9" fontId="2" fillId="0" borderId="6" xfId="0" applyNumberFormat="1" applyFont="1" applyBorder="1" applyAlignment="1">
      <alignment horizontal="center" shrinkToFit="1"/>
    </xf>
    <xf numFmtId="169" fontId="2" fillId="0" borderId="8" xfId="0" applyNumberFormat="1" applyFont="1" applyBorder="1" applyAlignment="1">
      <alignment shrinkToFit="1"/>
    </xf>
    <xf numFmtId="169" fontId="2" fillId="0" borderId="6" xfId="0" applyNumberFormat="1" applyFont="1" applyBorder="1" applyAlignment="1">
      <alignment shrinkToFit="1"/>
    </xf>
    <xf numFmtId="169" fontId="2" fillId="0" borderId="7" xfId="0" applyNumberFormat="1" applyFont="1" applyBorder="1" applyAlignment="1">
      <alignment shrinkToFit="1"/>
    </xf>
    <xf numFmtId="169" fontId="2" fillId="0" borderId="8" xfId="0" applyNumberFormat="1" applyFont="1" applyBorder="1" applyAlignment="1">
      <alignment horizontal="center" shrinkToFit="1"/>
    </xf>
    <xf numFmtId="169" fontId="2" fillId="0" borderId="5" xfId="0" applyNumberFormat="1" applyFont="1" applyBorder="1" applyAlignment="1">
      <alignment horizontal="center" shrinkToFit="1"/>
    </xf>
    <xf numFmtId="169" fontId="2" fillId="0" borderId="7" xfId="0" applyNumberFormat="1" applyFont="1" applyBorder="1" applyAlignment="1">
      <alignment horizontal="center" shrinkToFit="1"/>
    </xf>
    <xf numFmtId="12" fontId="2" fillId="0" borderId="6" xfId="0" applyNumberFormat="1" applyFont="1" applyBorder="1" applyAlignment="1">
      <alignment horizontal="center" shrinkToFit="1"/>
    </xf>
    <xf numFmtId="11" fontId="2" fillId="0" borderId="6" xfId="0" applyNumberFormat="1" applyFont="1" applyBorder="1" applyAlignment="1">
      <alignment horizontal="center" shrinkToFit="1"/>
    </xf>
    <xf numFmtId="169" fontId="2" fillId="0" borderId="14" xfId="0" applyNumberFormat="1" applyFont="1" applyBorder="1" applyAlignment="1">
      <alignment horizontal="center" shrinkToFit="1"/>
    </xf>
    <xf numFmtId="169" fontId="2" fillId="0" borderId="0" xfId="0" applyNumberFormat="1" applyFont="1" applyAlignment="1">
      <alignment horizontal="center" shrinkToFit="1"/>
    </xf>
    <xf numFmtId="169" fontId="2" fillId="0" borderId="4" xfId="0" applyNumberFormat="1" applyFont="1" applyBorder="1" applyAlignment="1">
      <alignment horizontal="center" shrinkToFit="1"/>
    </xf>
    <xf numFmtId="169" fontId="2" fillId="0" borderId="15" xfId="0" applyNumberFormat="1" applyFont="1" applyBorder="1" applyAlignment="1">
      <alignment horizontal="center" shrinkToFit="1"/>
    </xf>
    <xf numFmtId="12" fontId="2" fillId="0" borderId="0" xfId="0" applyNumberFormat="1" applyFont="1" applyAlignment="1">
      <alignment horizontal="center" shrinkToFit="1"/>
    </xf>
    <xf numFmtId="11" fontId="2" fillId="0" borderId="0" xfId="0" applyNumberFormat="1" applyFont="1" applyAlignment="1">
      <alignment horizontal="center" shrinkToFit="1"/>
    </xf>
    <xf numFmtId="169" fontId="2" fillId="0" borderId="14" xfId="0" applyNumberFormat="1" applyFont="1" applyBorder="1" applyAlignment="1">
      <alignment shrinkToFit="1"/>
    </xf>
    <xf numFmtId="169" fontId="2" fillId="0" borderId="0" xfId="0" applyNumberFormat="1" applyFont="1" applyAlignment="1">
      <alignment shrinkToFit="1"/>
    </xf>
    <xf numFmtId="169" fontId="2" fillId="0" borderId="15" xfId="0" applyNumberFormat="1" applyFont="1" applyBorder="1" applyAlignment="1">
      <alignment shrinkToFit="1"/>
    </xf>
    <xf numFmtId="169" fontId="2" fillId="0" borderId="13" xfId="0" applyNumberFormat="1" applyFont="1" applyBorder="1" applyAlignment="1">
      <alignment horizontal="center" shrinkToFit="1"/>
    </xf>
    <xf numFmtId="169" fontId="2" fillId="0" borderId="12" xfId="0" applyNumberFormat="1" applyFont="1" applyBorder="1" applyAlignment="1">
      <alignment horizontal="center" shrinkToFit="1"/>
    </xf>
    <xf numFmtId="169" fontId="2" fillId="0" borderId="10" xfId="0" applyNumberFormat="1" applyFont="1" applyBorder="1" applyAlignment="1">
      <alignment horizontal="center" shrinkToFit="1"/>
    </xf>
    <xf numFmtId="169" fontId="2" fillId="0" borderId="11" xfId="0" applyNumberFormat="1" applyFont="1" applyBorder="1" applyAlignment="1">
      <alignment horizontal="center" shrinkToFit="1"/>
    </xf>
    <xf numFmtId="11" fontId="2" fillId="0" borderId="10" xfId="0" applyNumberFormat="1" applyFont="1" applyBorder="1" applyAlignment="1">
      <alignment horizontal="center" shrinkToFit="1"/>
    </xf>
    <xf numFmtId="169" fontId="2" fillId="0" borderId="13" xfId="0" applyNumberFormat="1" applyFont="1" applyBorder="1" applyAlignment="1">
      <alignment shrinkToFit="1"/>
    </xf>
    <xf numFmtId="169" fontId="2" fillId="0" borderId="12" xfId="0" applyNumberFormat="1" applyFont="1" applyBorder="1" applyAlignment="1">
      <alignment shrinkToFit="1"/>
    </xf>
    <xf numFmtId="169" fontId="2" fillId="0" borderId="11" xfId="0" applyNumberFormat="1" applyFont="1" applyBorder="1" applyAlignment="1">
      <alignment shrinkToFit="1"/>
    </xf>
    <xf numFmtId="12" fontId="2" fillId="0" borderId="2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12" fontId="2" fillId="0" borderId="8" xfId="0" applyNumberFormat="1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12" fontId="2" fillId="0" borderId="12" xfId="0" applyNumberFormat="1" applyFont="1" applyBorder="1" applyAlignment="1">
      <alignment horizontal="center" shrinkToFit="1"/>
    </xf>
    <xf numFmtId="12" fontId="2" fillId="0" borderId="11" xfId="0" applyNumberFormat="1" applyFont="1" applyBorder="1" applyAlignment="1">
      <alignment horizontal="center" shrinkToFit="1"/>
    </xf>
    <xf numFmtId="0" fontId="3" fillId="2" borderId="13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13" fontId="2" fillId="0" borderId="9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2" fontId="2" fillId="0" borderId="3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3" fontId="2" fillId="0" borderId="4" xfId="0" applyNumberFormat="1" applyFont="1" applyBorder="1" applyAlignment="1">
      <alignment horizontal="center"/>
    </xf>
    <xf numFmtId="12" fontId="2" fillId="0" borderId="0" xfId="0" applyNumberFormat="1" applyFont="1" applyAlignment="1">
      <alignment horizontal="center"/>
    </xf>
    <xf numFmtId="12" fontId="2" fillId="0" borderId="14" xfId="0" applyNumberFormat="1" applyFont="1" applyBorder="1" applyAlignment="1">
      <alignment horizontal="center"/>
    </xf>
    <xf numFmtId="12" fontId="2" fillId="0" borderId="15" xfId="0" applyNumberFormat="1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12" fontId="2" fillId="0" borderId="6" xfId="0" applyNumberFormat="1" applyFont="1" applyBorder="1" applyAlignment="1">
      <alignment horizontal="center"/>
    </xf>
    <xf numFmtId="12" fontId="2" fillId="0" borderId="8" xfId="0" applyNumberFormat="1" applyFont="1" applyBorder="1" applyAlignment="1">
      <alignment horizontal="center"/>
    </xf>
    <xf numFmtId="12" fontId="2" fillId="0" borderId="7" xfId="0" applyNumberFormat="1" applyFont="1" applyBorder="1" applyAlignment="1">
      <alignment horizontal="center"/>
    </xf>
    <xf numFmtId="13" fontId="2" fillId="0" borderId="10" xfId="0" applyNumberFormat="1" applyFont="1" applyBorder="1" applyAlignment="1">
      <alignment horizontal="center"/>
    </xf>
    <xf numFmtId="12" fontId="2" fillId="0" borderId="12" xfId="0" applyNumberFormat="1" applyFont="1" applyBorder="1" applyAlignment="1">
      <alignment horizontal="center"/>
    </xf>
    <xf numFmtId="12" fontId="2" fillId="0" borderId="13" xfId="0" applyNumberFormat="1" applyFont="1" applyBorder="1" applyAlignment="1">
      <alignment horizontal="center"/>
    </xf>
    <xf numFmtId="12" fontId="2" fillId="0" borderId="11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3" fillId="2" borderId="0" xfId="0" applyFont="1" applyFill="1" applyAlignment="1">
      <alignment horizontal="center"/>
    </xf>
    <xf numFmtId="164" fontId="2" fillId="0" borderId="5" xfId="0" applyNumberFormat="1" applyFont="1" applyBorder="1"/>
    <xf numFmtId="164" fontId="2" fillId="0" borderId="4" xfId="0" applyNumberFormat="1" applyFont="1" applyBorder="1"/>
    <xf numFmtId="0" fontId="3" fillId="2" borderId="4" xfId="0" applyFont="1" applyFill="1" applyBorder="1" applyAlignment="1">
      <alignment horizontal="center"/>
    </xf>
    <xf numFmtId="164" fontId="2" fillId="0" borderId="9" xfId="0" applyNumberFormat="1" applyFont="1" applyBorder="1"/>
    <xf numFmtId="166" fontId="2" fillId="0" borderId="9" xfId="0" applyNumberFormat="1" applyFont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167" fontId="2" fillId="0" borderId="8" xfId="0" applyNumberFormat="1" applyFont="1" applyBorder="1" applyAlignment="1">
      <alignment horizontal="right"/>
    </xf>
    <xf numFmtId="167" fontId="2" fillId="0" borderId="14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6" fontId="2" fillId="0" borderId="6" xfId="0" quotePrefix="1" applyNumberFormat="1" applyFont="1" applyBorder="1" applyAlignment="1">
      <alignment horizontal="center" shrinkToFit="1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6" fontId="2" fillId="0" borderId="0" xfId="0" quotePrefix="1" applyNumberFormat="1" applyFont="1" applyAlignment="1">
      <alignment horizontal="center" shrinkToFit="1"/>
    </xf>
    <xf numFmtId="166" fontId="2" fillId="0" borderId="0" xfId="0" applyNumberFormat="1" applyFont="1" applyAlignment="1">
      <alignment horizontal="center" shrinkToFit="1"/>
    </xf>
    <xf numFmtId="0" fontId="2" fillId="0" borderId="0" xfId="0" quotePrefix="1" applyFont="1" applyAlignment="1">
      <alignment horizontal="center"/>
    </xf>
    <xf numFmtId="167" fontId="2" fillId="0" borderId="8" xfId="0" applyNumberFormat="1" applyFont="1" applyBorder="1"/>
    <xf numFmtId="167" fontId="2" fillId="0" borderId="7" xfId="0" applyNumberFormat="1" applyFont="1" applyBorder="1"/>
    <xf numFmtId="166" fontId="2" fillId="0" borderId="1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right"/>
    </xf>
    <xf numFmtId="167" fontId="2" fillId="0" borderId="13" xfId="0" applyNumberFormat="1" applyFont="1" applyBorder="1"/>
    <xf numFmtId="167" fontId="2" fillId="0" borderId="6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167" fontId="2" fillId="0" borderId="11" xfId="0" applyNumberFormat="1" applyFont="1" applyBorder="1"/>
    <xf numFmtId="167" fontId="0" fillId="0" borderId="0" xfId="0" applyNumberFormat="1"/>
    <xf numFmtId="167" fontId="2" fillId="0" borderId="3" xfId="0" applyNumberFormat="1" applyFont="1" applyBorder="1"/>
    <xf numFmtId="166" fontId="2" fillId="0" borderId="1" xfId="0" applyNumberFormat="1" applyFont="1" applyBorder="1"/>
    <xf numFmtId="167" fontId="2" fillId="0" borderId="2" xfId="0" applyNumberFormat="1" applyFont="1" applyBorder="1" applyAlignment="1">
      <alignment horizontal="center"/>
    </xf>
    <xf numFmtId="167" fontId="2" fillId="0" borderId="1" xfId="0" applyNumberFormat="1" applyFont="1" applyBorder="1"/>
    <xf numFmtId="167" fontId="2" fillId="0" borderId="14" xfId="0" applyNumberFormat="1" applyFont="1" applyBorder="1"/>
    <xf numFmtId="167" fontId="2" fillId="0" borderId="0" xfId="0" applyNumberFormat="1" applyFont="1" applyAlignment="1">
      <alignment horizontal="center"/>
    </xf>
    <xf numFmtId="167" fontId="2" fillId="0" borderId="15" xfId="0" applyNumberFormat="1" applyFont="1" applyBorder="1"/>
    <xf numFmtId="0" fontId="2" fillId="0" borderId="8" xfId="0" applyFont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2" fontId="3" fillId="2" borderId="9" xfId="0" applyNumberFormat="1" applyFont="1" applyFill="1" applyBorder="1" applyAlignment="1">
      <alignment horizontal="center" vertical="center"/>
    </xf>
    <xf numFmtId="166" fontId="2" fillId="0" borderId="13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4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5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6" fontId="2" fillId="2" borderId="6" xfId="0" quotePrefix="1" applyNumberFormat="1" applyFont="1" applyFill="1" applyBorder="1" applyAlignment="1">
      <alignment horizontal="center" shrinkToFit="1"/>
    </xf>
    <xf numFmtId="166" fontId="2" fillId="2" borderId="14" xfId="0" applyNumberFormat="1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2" fillId="2" borderId="0" xfId="0" quotePrefix="1" applyNumberFormat="1" applyFont="1" applyFill="1" applyAlignment="1">
      <alignment horizontal="center" shrinkToFit="1"/>
    </xf>
    <xf numFmtId="166" fontId="2" fillId="0" borderId="14" xfId="0" applyNumberFormat="1" applyFont="1" applyBorder="1" applyAlignment="1">
      <alignment horizontal="center"/>
    </xf>
    <xf numFmtId="166" fontId="2" fillId="2" borderId="0" xfId="0" applyNumberFormat="1" applyFont="1" applyFill="1" applyAlignment="1">
      <alignment horizontal="center" shrinkToFit="1"/>
    </xf>
    <xf numFmtId="0" fontId="2" fillId="2" borderId="0" xfId="0" quotePrefix="1" applyFont="1" applyFill="1" applyAlignment="1">
      <alignment horizontal="center"/>
    </xf>
    <xf numFmtId="166" fontId="2" fillId="2" borderId="12" xfId="0" applyNumberFormat="1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shrinkToFit="1"/>
    </xf>
    <xf numFmtId="164" fontId="2" fillId="2" borderId="1" xfId="0" applyNumberFormat="1" applyFont="1" applyFill="1" applyBorder="1" applyAlignment="1">
      <alignment horizontal="center" shrinkToFit="1"/>
    </xf>
    <xf numFmtId="164" fontId="2" fillId="2" borderId="9" xfId="0" applyNumberFormat="1" applyFont="1" applyFill="1" applyBorder="1" applyAlignment="1">
      <alignment horizontal="center" shrinkToFit="1"/>
    </xf>
    <xf numFmtId="167" fontId="2" fillId="2" borderId="1" xfId="0" applyNumberFormat="1" applyFont="1" applyFill="1" applyBorder="1" applyAlignment="1">
      <alignment shrinkToFit="1"/>
    </xf>
    <xf numFmtId="167" fontId="2" fillId="0" borderId="6" xfId="0" applyNumberFormat="1" applyFont="1" applyBorder="1" applyAlignment="1">
      <alignment shrinkToFit="1"/>
    </xf>
    <xf numFmtId="164" fontId="2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shrinkToFit="1"/>
    </xf>
    <xf numFmtId="164" fontId="2" fillId="2" borderId="4" xfId="0" applyNumberFormat="1" applyFont="1" applyFill="1" applyBorder="1" applyAlignment="1">
      <alignment horizontal="center" shrinkToFit="1"/>
    </xf>
    <xf numFmtId="167" fontId="2" fillId="0" borderId="0" xfId="0" applyNumberFormat="1" applyFont="1" applyAlignment="1">
      <alignment shrinkToFit="1"/>
    </xf>
    <xf numFmtId="167" fontId="2" fillId="2" borderId="9" xfId="0" applyNumberFormat="1" applyFont="1" applyFill="1" applyBorder="1" applyAlignment="1">
      <alignment shrinkToFit="1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shrinkToFit="1"/>
    </xf>
    <xf numFmtId="167" fontId="2" fillId="2" borderId="3" xfId="0" applyNumberFormat="1" applyFont="1" applyFill="1" applyBorder="1" applyAlignment="1">
      <alignment shrinkToFit="1"/>
    </xf>
    <xf numFmtId="164" fontId="2" fillId="0" borderId="13" xfId="0" applyNumberFormat="1" applyFont="1" applyBorder="1" applyAlignment="1">
      <alignment horizontal="center" shrinkToFit="1"/>
    </xf>
    <xf numFmtId="164" fontId="2" fillId="0" borderId="12" xfId="0" applyNumberFormat="1" applyFont="1" applyBorder="1" applyAlignment="1">
      <alignment horizontal="center" shrinkToFit="1"/>
    </xf>
    <xf numFmtId="164" fontId="2" fillId="2" borderId="11" xfId="0" applyNumberFormat="1" applyFont="1" applyFill="1" applyBorder="1" applyAlignment="1">
      <alignment horizontal="center"/>
    </xf>
    <xf numFmtId="167" fontId="2" fillId="0" borderId="12" xfId="0" applyNumberFormat="1" applyFont="1" applyBorder="1" applyAlignment="1">
      <alignment shrinkToFit="1"/>
    </xf>
    <xf numFmtId="2" fontId="2" fillId="0" borderId="3" xfId="0" applyNumberFormat="1" applyFont="1" applyBorder="1"/>
    <xf numFmtId="4" fontId="2" fillId="0" borderId="9" xfId="0" applyNumberFormat="1" applyFont="1" applyBorder="1"/>
    <xf numFmtId="2" fontId="2" fillId="0" borderId="13" xfId="0" applyNumberFormat="1" applyFont="1" applyBorder="1"/>
    <xf numFmtId="2" fontId="2" fillId="0" borderId="0" xfId="0" applyNumberFormat="1" applyFont="1"/>
    <xf numFmtId="2" fontId="2" fillId="0" borderId="5" xfId="0" applyNumberFormat="1" applyFont="1" applyBorder="1"/>
    <xf numFmtId="2" fontId="2" fillId="0" borderId="10" xfId="0" applyNumberFormat="1" applyFont="1" applyBorder="1"/>
    <xf numFmtId="2" fontId="2" fillId="0" borderId="2" xfId="0" applyNumberFormat="1" applyFont="1" applyBorder="1"/>
    <xf numFmtId="168" fontId="2" fillId="0" borderId="9" xfId="0" applyNumberFormat="1" applyFont="1" applyBorder="1"/>
    <xf numFmtId="2" fontId="2" fillId="0" borderId="4" xfId="0" applyNumberFormat="1" applyFont="1" applyBorder="1"/>
    <xf numFmtId="168" fontId="2" fillId="0" borderId="4" xfId="0" applyNumberFormat="1" applyFont="1" applyBorder="1"/>
    <xf numFmtId="168" fontId="2" fillId="0" borderId="0" xfId="0" applyNumberFormat="1" applyFont="1"/>
    <xf numFmtId="168" fontId="2" fillId="0" borderId="10" xfId="0" applyNumberFormat="1" applyFont="1" applyBorder="1"/>
    <xf numFmtId="0" fontId="3" fillId="0" borderId="6" xfId="0" applyFont="1" applyBorder="1" applyAlignment="1">
      <alignment horizontal="center"/>
    </xf>
    <xf numFmtId="0" fontId="0" fillId="0" borderId="8" xfId="0" applyBorder="1"/>
    <xf numFmtId="0" fontId="5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2" xfId="0" applyBorder="1"/>
    <xf numFmtId="0" fontId="0" fillId="0" borderId="2" xfId="0" applyBorder="1" applyAlignment="1">
      <alignment wrapText="1"/>
    </xf>
    <xf numFmtId="0" fontId="46" fillId="2" borderId="1" xfId="0" applyFont="1" applyFill="1" applyBorder="1" applyAlignment="1">
      <alignment horizontal="center" vertical="center" wrapText="1"/>
    </xf>
    <xf numFmtId="166" fontId="2" fillId="0" borderId="14" xfId="0" applyNumberFormat="1" applyFont="1" applyBorder="1" applyAlignment="1">
      <alignment shrinkToFit="1"/>
    </xf>
    <xf numFmtId="166" fontId="2" fillId="0" borderId="0" xfId="0" applyNumberFormat="1" applyFont="1" applyAlignment="1">
      <alignment shrinkToFit="1"/>
    </xf>
    <xf numFmtId="166" fontId="2" fillId="0" borderId="15" xfId="0" applyNumberFormat="1" applyFont="1" applyBorder="1" applyAlignment="1">
      <alignment shrinkToFit="1"/>
    </xf>
    <xf numFmtId="164" fontId="47" fillId="0" borderId="14" xfId="0" applyNumberFormat="1" applyFont="1" applyBorder="1" applyAlignment="1">
      <alignment horizontal="center" vertical="center" wrapText="1"/>
    </xf>
    <xf numFmtId="164" fontId="47" fillId="0" borderId="0" xfId="0" applyNumberFormat="1" applyFont="1" applyAlignment="1">
      <alignment horizontal="center" vertical="center" wrapText="1"/>
    </xf>
    <xf numFmtId="1" fontId="47" fillId="0" borderId="15" xfId="0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/>
    <xf numFmtId="166" fontId="2" fillId="0" borderId="13" xfId="0" applyNumberFormat="1" applyFont="1" applyBorder="1" applyAlignment="1">
      <alignment shrinkToFit="1"/>
    </xf>
    <xf numFmtId="166" fontId="2" fillId="0" borderId="12" xfId="0" applyNumberFormat="1" applyFont="1" applyBorder="1" applyAlignment="1">
      <alignment shrinkToFit="1"/>
    </xf>
    <xf numFmtId="166" fontId="2" fillId="0" borderId="11" xfId="0" applyNumberFormat="1" applyFont="1" applyBorder="1" applyAlignment="1">
      <alignment shrinkToFit="1"/>
    </xf>
    <xf numFmtId="164" fontId="47" fillId="0" borderId="13" xfId="0" applyNumberFormat="1" applyFont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1" fontId="47" fillId="0" borderId="11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2" fontId="2" fillId="0" borderId="7" xfId="0" applyNumberFormat="1" applyFont="1" applyBorder="1"/>
    <xf numFmtId="0" fontId="5" fillId="0" borderId="3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0" fontId="46" fillId="0" borderId="8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3" xfId="0" applyFill="1" applyBorder="1"/>
    <xf numFmtId="2" fontId="2" fillId="0" borderId="7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47" fillId="0" borderId="8" xfId="0" applyNumberFormat="1" applyFont="1" applyBorder="1" applyAlignment="1">
      <alignment horizontal="center" vertical="center" wrapText="1"/>
    </xf>
    <xf numFmtId="164" fontId="47" fillId="0" borderId="7" xfId="0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4" fontId="47" fillId="0" borderId="1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46" fillId="2" borderId="3" xfId="0" applyNumberFormat="1" applyFont="1" applyFill="1" applyBorder="1" applyAlignment="1">
      <alignment horizontal="center" vertical="center" wrapText="1"/>
    </xf>
    <xf numFmtId="164" fontId="46" fillId="2" borderId="1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2" fontId="46" fillId="2" borderId="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/>
    <xf numFmtId="167" fontId="2" fillId="0" borderId="0" xfId="0" applyNumberFormat="1" applyFont="1"/>
    <xf numFmtId="164" fontId="2" fillId="2" borderId="2" xfId="0" applyNumberFormat="1" applyFont="1" applyFill="1" applyBorder="1"/>
    <xf numFmtId="1" fontId="2" fillId="0" borderId="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2" fillId="0" borderId="12" xfId="0" applyNumberFormat="1" applyFont="1" applyBorder="1"/>
    <xf numFmtId="167" fontId="2" fillId="0" borderId="12" xfId="0" applyNumberFormat="1" applyFont="1" applyBorder="1"/>
    <xf numFmtId="1" fontId="2" fillId="0" borderId="10" xfId="0" applyNumberFormat="1" applyFont="1" applyBorder="1" applyAlignment="1">
      <alignment horizontal="center"/>
    </xf>
    <xf numFmtId="0" fontId="0" fillId="2" borderId="12" xfId="0" applyFill="1" applyBorder="1"/>
    <xf numFmtId="0" fontId="3" fillId="2" borderId="12" xfId="0" applyFont="1" applyFill="1" applyBorder="1" applyAlignment="1">
      <alignment horizontal="center"/>
    </xf>
    <xf numFmtId="0" fontId="49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9" xfId="0" applyFont="1" applyFill="1" applyBorder="1"/>
    <xf numFmtId="0" fontId="5" fillId="3" borderId="9" xfId="0" applyFont="1" applyFill="1" applyBorder="1"/>
    <xf numFmtId="3" fontId="2" fillId="0" borderId="0" xfId="0" applyNumberFormat="1" applyFont="1"/>
    <xf numFmtId="0" fontId="33" fillId="0" borderId="0" xfId="0" applyFont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3" fontId="3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7" fillId="0" borderId="4" xfId="0" applyFont="1" applyBorder="1" applyAlignment="1">
      <alignment horizontal="right" vertical="center" wrapText="1"/>
    </xf>
    <xf numFmtId="3" fontId="2" fillId="0" borderId="14" xfId="0" applyNumberFormat="1" applyFont="1" applyBorder="1"/>
    <xf numFmtId="166" fontId="2" fillId="0" borderId="8" xfId="0" applyNumberFormat="1" applyFont="1" applyBorder="1" applyAlignment="1">
      <alignment shrinkToFit="1"/>
    </xf>
    <xf numFmtId="0" fontId="47" fillId="0" borderId="10" xfId="0" applyFont="1" applyBorder="1" applyAlignment="1">
      <alignment horizontal="right" vertical="center" wrapText="1"/>
    </xf>
    <xf numFmtId="3" fontId="2" fillId="0" borderId="13" xfId="0" applyNumberFormat="1" applyFont="1" applyBorder="1"/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6" xfId="1" applyFont="1" applyBorder="1"/>
    <xf numFmtId="0" fontId="2" fillId="2" borderId="5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/>
    <xf numFmtId="0" fontId="3" fillId="2" borderId="5" xfId="1" applyFont="1" applyFill="1" applyBorder="1" applyAlignment="1">
      <alignment horizontal="center"/>
    </xf>
    <xf numFmtId="0" fontId="2" fillId="0" borderId="13" xfId="1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2" xfId="1" applyFont="1" applyBorder="1"/>
    <xf numFmtId="0" fontId="2" fillId="2" borderId="10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0" borderId="5" xfId="1" applyFont="1" applyBorder="1"/>
    <xf numFmtId="166" fontId="2" fillId="0" borderId="5" xfId="1" applyNumberFormat="1" applyFont="1" applyBorder="1"/>
    <xf numFmtId="0" fontId="3" fillId="2" borderId="7" xfId="1" applyFont="1" applyFill="1" applyBorder="1" applyAlignment="1">
      <alignment horizontal="center"/>
    </xf>
    <xf numFmtId="0" fontId="2" fillId="0" borderId="10" xfId="1" applyFont="1" applyBorder="1"/>
    <xf numFmtId="166" fontId="2" fillId="0" borderId="10" xfId="1" applyNumberFormat="1" applyFont="1" applyBorder="1"/>
    <xf numFmtId="0" fontId="3" fillId="2" borderId="11" xfId="1" applyFont="1" applyFill="1" applyBorder="1" applyAlignment="1">
      <alignment horizontal="center"/>
    </xf>
    <xf numFmtId="0" fontId="2" fillId="0" borderId="9" xfId="1" applyFont="1" applyBorder="1"/>
    <xf numFmtId="166" fontId="2" fillId="0" borderId="9" xfId="1" applyNumberFormat="1" applyFont="1" applyBorder="1"/>
    <xf numFmtId="0" fontId="3" fillId="2" borderId="1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12" fillId="0" borderId="13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" fillId="0" borderId="4" xfId="1" applyFont="1" applyBorder="1"/>
    <xf numFmtId="166" fontId="2" fillId="0" borderId="4" xfId="1" applyNumberFormat="1" applyFont="1" applyBorder="1"/>
    <xf numFmtId="0" fontId="2" fillId="0" borderId="14" xfId="1" applyFont="1" applyBorder="1"/>
    <xf numFmtId="0" fontId="3" fillId="2" borderId="15" xfId="1" applyFont="1" applyFill="1" applyBorder="1" applyAlignment="1">
      <alignment horizontal="center"/>
    </xf>
    <xf numFmtId="166" fontId="2" fillId="0" borderId="13" xfId="1" applyNumberFormat="1" applyFont="1" applyBorder="1"/>
    <xf numFmtId="0" fontId="3" fillId="2" borderId="10" xfId="1" applyFont="1" applyFill="1" applyBorder="1" applyAlignment="1">
      <alignment horizontal="center"/>
    </xf>
    <xf numFmtId="166" fontId="2" fillId="0" borderId="3" xfId="1" applyNumberFormat="1" applyFont="1" applyBorder="1"/>
    <xf numFmtId="0" fontId="8" fillId="2" borderId="9" xfId="1" applyFont="1" applyFill="1" applyBorder="1" applyAlignment="1">
      <alignment horizontal="center"/>
    </xf>
    <xf numFmtId="0" fontId="2" fillId="0" borderId="7" xfId="1" applyFont="1" applyBorder="1"/>
    <xf numFmtId="0" fontId="2" fillId="0" borderId="11" xfId="1" applyFont="1" applyBorder="1"/>
    <xf numFmtId="0" fontId="2" fillId="0" borderId="3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5" xfId="1" applyFont="1" applyBorder="1"/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2" borderId="0" xfId="1" applyFont="1" applyFill="1"/>
    <xf numFmtId="0" fontId="2" fillId="2" borderId="3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0" borderId="0" xfId="3" applyFont="1" applyAlignment="1">
      <alignment vertical="center" shrinkToFit="1"/>
    </xf>
    <xf numFmtId="166" fontId="2" fillId="0" borderId="0" xfId="3" applyNumberFormat="1" applyFont="1" applyAlignment="1">
      <alignment vertical="center" shrinkToFit="1"/>
    </xf>
    <xf numFmtId="166" fontId="2" fillId="0" borderId="0" xfId="3" applyNumberFormat="1" applyFont="1" applyAlignment="1">
      <alignment vertical="center"/>
    </xf>
    <xf numFmtId="167" fontId="2" fillId="0" borderId="5" xfId="3" applyNumberFormat="1" applyFont="1" applyBorder="1" applyAlignment="1">
      <alignment vertical="center" shrinkToFit="1"/>
    </xf>
    <xf numFmtId="2" fontId="2" fillId="0" borderId="5" xfId="3" applyNumberFormat="1" applyFont="1" applyBorder="1" applyAlignment="1">
      <alignment vertical="center" shrinkToFit="1"/>
    </xf>
    <xf numFmtId="166" fontId="2" fillId="0" borderId="5" xfId="3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167" fontId="2" fillId="0" borderId="4" xfId="3" applyNumberFormat="1" applyFont="1" applyBorder="1" applyAlignment="1">
      <alignment vertical="center" shrinkToFit="1"/>
    </xf>
    <xf numFmtId="2" fontId="2" fillId="0" borderId="4" xfId="3" applyNumberFormat="1" applyFont="1" applyBorder="1" applyAlignment="1">
      <alignment vertical="center" shrinkToFit="1"/>
    </xf>
    <xf numFmtId="166" fontId="2" fillId="0" borderId="4" xfId="3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167" fontId="2" fillId="0" borderId="10" xfId="3" applyNumberFormat="1" applyFont="1" applyBorder="1" applyAlignment="1">
      <alignment vertical="center" shrinkToFit="1"/>
    </xf>
    <xf numFmtId="2" fontId="2" fillId="0" borderId="10" xfId="3" applyNumberFormat="1" applyFont="1" applyBorder="1" applyAlignment="1">
      <alignment vertical="center" shrinkToFit="1"/>
    </xf>
    <xf numFmtId="166" fontId="2" fillId="0" borderId="10" xfId="3" applyNumberFormat="1" applyFont="1" applyBorder="1" applyAlignment="1">
      <alignment vertical="center" shrinkToFit="1"/>
    </xf>
    <xf numFmtId="166" fontId="2" fillId="0" borderId="10" xfId="3" applyNumberFormat="1" applyFont="1" applyBorder="1" applyAlignment="1">
      <alignment horizontal="center" vertical="center"/>
    </xf>
    <xf numFmtId="0" fontId="2" fillId="0" borderId="8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6" xfId="3" applyFont="1" applyBorder="1" applyAlignment="1">
      <alignment vertical="center" shrinkToFit="1"/>
    </xf>
    <xf numFmtId="166" fontId="2" fillId="0" borderId="6" xfId="3" applyNumberFormat="1" applyFont="1" applyBorder="1" applyAlignment="1">
      <alignment vertical="center" shrinkToFit="1"/>
    </xf>
    <xf numFmtId="0" fontId="3" fillId="0" borderId="5" xfId="3" applyFont="1" applyBorder="1" applyAlignment="1">
      <alignment horizontal="center" vertical="center" shrinkToFit="1"/>
    </xf>
    <xf numFmtId="0" fontId="2" fillId="0" borderId="14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3" fillId="0" borderId="4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2" fillId="0" borderId="9" xfId="3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166" fontId="2" fillId="0" borderId="8" xfId="3" applyNumberFormat="1" applyFont="1" applyBorder="1" applyAlignment="1">
      <alignment vertical="center" shrinkToFit="1"/>
    </xf>
    <xf numFmtId="166" fontId="2" fillId="0" borderId="7" xfId="3" applyNumberFormat="1" applyFont="1" applyBorder="1" applyAlignment="1">
      <alignment vertical="center" shrinkToFit="1"/>
    </xf>
    <xf numFmtId="167" fontId="2" fillId="0" borderId="6" xfId="3" applyNumberFormat="1" applyFont="1" applyBorder="1" applyAlignment="1">
      <alignment horizontal="center"/>
    </xf>
    <xf numFmtId="167" fontId="2" fillId="0" borderId="7" xfId="3" applyNumberFormat="1" applyFont="1" applyBorder="1" applyAlignment="1">
      <alignment horizontal="center"/>
    </xf>
    <xf numFmtId="0" fontId="3" fillId="0" borderId="5" xfId="3" applyFont="1" applyBorder="1" applyAlignment="1">
      <alignment vertical="center" shrinkToFit="1"/>
    </xf>
    <xf numFmtId="166" fontId="2" fillId="0" borderId="8" xfId="3" applyNumberFormat="1" applyFont="1" applyBorder="1" applyAlignment="1">
      <alignment horizontal="center"/>
    </xf>
    <xf numFmtId="166" fontId="2" fillId="0" borderId="6" xfId="3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166" fontId="2" fillId="0" borderId="14" xfId="3" applyNumberFormat="1" applyFont="1" applyBorder="1" applyAlignment="1">
      <alignment vertical="center" shrinkToFit="1"/>
    </xf>
    <xf numFmtId="166" fontId="2" fillId="0" borderId="15" xfId="3" applyNumberFormat="1" applyFont="1" applyBorder="1" applyAlignment="1">
      <alignment vertical="center" shrinkToFit="1"/>
    </xf>
    <xf numFmtId="167" fontId="2" fillId="0" borderId="0" xfId="3" applyNumberFormat="1" applyFont="1" applyAlignment="1">
      <alignment horizontal="center"/>
    </xf>
    <xf numFmtId="167" fontId="2" fillId="0" borderId="15" xfId="3" applyNumberFormat="1" applyFont="1" applyBorder="1" applyAlignment="1">
      <alignment horizontal="center"/>
    </xf>
    <xf numFmtId="0" fontId="3" fillId="0" borderId="4" xfId="3" applyFont="1" applyBorder="1" applyAlignment="1">
      <alignment vertical="center" shrinkToFit="1"/>
    </xf>
    <xf numFmtId="166" fontId="2" fillId="0" borderId="14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166" fontId="2" fillId="0" borderId="15" xfId="3" applyNumberFormat="1" applyFont="1" applyBorder="1" applyAlignment="1">
      <alignment horizontal="center"/>
    </xf>
    <xf numFmtId="166" fontId="2" fillId="0" borderId="13" xfId="3" applyNumberFormat="1" applyFont="1" applyBorder="1" applyAlignment="1">
      <alignment vertical="center" shrinkToFit="1"/>
    </xf>
    <xf numFmtId="166" fontId="2" fillId="0" borderId="12" xfId="3" applyNumberFormat="1" applyFont="1" applyBorder="1" applyAlignment="1">
      <alignment vertical="center" shrinkToFit="1"/>
    </xf>
    <xf numFmtId="166" fontId="2" fillId="0" borderId="11" xfId="3" applyNumberFormat="1" applyFont="1" applyBorder="1" applyAlignment="1">
      <alignment vertical="center" shrinkToFit="1"/>
    </xf>
    <xf numFmtId="166" fontId="2" fillId="0" borderId="13" xfId="3" applyNumberFormat="1" applyFont="1" applyBorder="1" applyAlignment="1">
      <alignment horizontal="center"/>
    </xf>
    <xf numFmtId="166" fontId="2" fillId="0" borderId="12" xfId="3" applyNumberFormat="1" applyFont="1" applyBorder="1" applyAlignment="1">
      <alignment horizontal="center"/>
    </xf>
    <xf numFmtId="166" fontId="2" fillId="0" borderId="11" xfId="3" applyNumberFormat="1" applyFont="1" applyBorder="1" applyAlignment="1">
      <alignment horizontal="center"/>
    </xf>
    <xf numFmtId="167" fontId="2" fillId="0" borderId="14" xfId="3" applyNumberFormat="1" applyFont="1" applyBorder="1" applyAlignment="1">
      <alignment horizontal="center"/>
    </xf>
    <xf numFmtId="0" fontId="3" fillId="0" borderId="10" xfId="3" applyFont="1" applyBorder="1" applyAlignment="1">
      <alignment vertical="center" shrinkToFit="1"/>
    </xf>
    <xf numFmtId="167" fontId="2" fillId="0" borderId="13" xfId="3" applyNumberFormat="1" applyFont="1" applyBorder="1" applyAlignment="1">
      <alignment horizontal="center"/>
    </xf>
    <xf numFmtId="167" fontId="2" fillId="0" borderId="12" xfId="3" applyNumberFormat="1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3" fillId="0" borderId="9" xfId="3" applyFont="1" applyBorder="1" applyAlignment="1">
      <alignment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right" vertical="center" shrinkToFit="1"/>
    </xf>
    <xf numFmtId="0" fontId="54" fillId="0" borderId="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right" vertical="center" shrinkToFit="1"/>
    </xf>
    <xf numFmtId="0" fontId="3" fillId="0" borderId="14" xfId="3" applyFont="1" applyBorder="1" applyAlignment="1">
      <alignment horizontal="right" vertical="center" shrinkToFit="1"/>
    </xf>
    <xf numFmtId="166" fontId="2" fillId="0" borderId="5" xfId="3" applyNumberFormat="1" applyFont="1" applyBorder="1" applyAlignment="1">
      <alignment horizontal="right" vertical="center" shrinkToFit="1"/>
    </xf>
    <xf numFmtId="166" fontId="2" fillId="0" borderId="4" xfId="3" applyNumberFormat="1" applyFont="1" applyBorder="1" applyAlignment="1">
      <alignment horizontal="right" vertical="center" shrinkToFit="1"/>
    </xf>
    <xf numFmtId="0" fontId="3" fillId="0" borderId="10" xfId="3" applyFont="1" applyBorder="1" applyAlignment="1">
      <alignment horizontal="center" vertical="center" shrinkToFit="1"/>
    </xf>
    <xf numFmtId="166" fontId="2" fillId="0" borderId="9" xfId="3" applyNumberFormat="1" applyFont="1" applyBorder="1" applyAlignment="1">
      <alignment vertical="center" shrinkToFit="1"/>
    </xf>
    <xf numFmtId="166" fontId="2" fillId="0" borderId="9" xfId="3" applyNumberFormat="1" applyFont="1" applyBorder="1" applyAlignment="1">
      <alignment horizontal="right" vertical="center" shrinkToFit="1"/>
    </xf>
    <xf numFmtId="0" fontId="3" fillId="0" borderId="13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center" vertical="center"/>
    </xf>
    <xf numFmtId="0" fontId="54" fillId="0" borderId="2" xfId="3" applyFont="1" applyBorder="1" applyAlignment="1">
      <alignment horizontal="center" vertical="center"/>
    </xf>
    <xf numFmtId="167" fontId="2" fillId="0" borderId="8" xfId="3" applyNumberFormat="1" applyFont="1" applyBorder="1" applyAlignment="1">
      <alignment vertical="center"/>
    </xf>
    <xf numFmtId="167" fontId="2" fillId="0" borderId="6" xfId="3" applyNumberFormat="1" applyFont="1" applyBorder="1" applyAlignment="1">
      <alignment vertical="center"/>
    </xf>
    <xf numFmtId="167" fontId="2" fillId="0" borderId="7" xfId="3" applyNumberFormat="1" applyFont="1" applyBorder="1" applyAlignment="1">
      <alignment vertical="center"/>
    </xf>
    <xf numFmtId="167" fontId="2" fillId="0" borderId="14" xfId="3" applyNumberFormat="1" applyFont="1" applyBorder="1" applyAlignment="1">
      <alignment vertical="center"/>
    </xf>
    <xf numFmtId="167" fontId="2" fillId="0" borderId="0" xfId="3" applyNumberFormat="1" applyFont="1" applyAlignment="1">
      <alignment vertical="center"/>
    </xf>
    <xf numFmtId="167" fontId="2" fillId="0" borderId="15" xfId="3" applyNumberFormat="1" applyFont="1" applyBorder="1" applyAlignment="1">
      <alignment vertical="center"/>
    </xf>
    <xf numFmtId="0" fontId="3" fillId="0" borderId="1" xfId="3" applyFont="1" applyBorder="1" applyAlignment="1">
      <alignment horizontal="center" vertical="center" shrinkToFit="1"/>
    </xf>
    <xf numFmtId="166" fontId="2" fillId="0" borderId="3" xfId="3" applyNumberFormat="1" applyFont="1" applyBorder="1" applyAlignment="1">
      <alignment horizontal="center"/>
    </xf>
    <xf numFmtId="166" fontId="2" fillId="0" borderId="2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167" fontId="2" fillId="0" borderId="13" xfId="3" applyNumberFormat="1" applyFont="1" applyBorder="1" applyAlignment="1">
      <alignment vertical="center"/>
    </xf>
    <xf numFmtId="167" fontId="2" fillId="0" borderId="12" xfId="3" applyNumberFormat="1" applyFont="1" applyBorder="1" applyAlignment="1">
      <alignment vertical="center"/>
    </xf>
    <xf numFmtId="167" fontId="2" fillId="0" borderId="11" xfId="3" applyNumberFormat="1" applyFont="1" applyBorder="1" applyAlignment="1">
      <alignment vertical="center"/>
    </xf>
    <xf numFmtId="166" fontId="2" fillId="0" borderId="3" xfId="3" applyNumberFormat="1" applyFont="1" applyBorder="1" applyAlignment="1">
      <alignment vertical="center" shrinkToFit="1"/>
    </xf>
    <xf numFmtId="166" fontId="2" fillId="0" borderId="1" xfId="3" applyNumberFormat="1" applyFont="1" applyBorder="1" applyAlignment="1">
      <alignment vertical="center" shrinkToFit="1"/>
    </xf>
    <xf numFmtId="166" fontId="2" fillId="0" borderId="2" xfId="3" applyNumberFormat="1" applyFont="1" applyBorder="1" applyAlignment="1">
      <alignment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3" applyFont="1" applyAlignment="1">
      <alignment vertical="center" shrinkToFit="1"/>
    </xf>
    <xf numFmtId="166" fontId="2" fillId="0" borderId="8" xfId="3" applyNumberFormat="1" applyFont="1" applyBorder="1" applyAlignment="1">
      <alignment horizontal="right" vertical="center" shrinkToFit="1"/>
    </xf>
    <xf numFmtId="0" fontId="2" fillId="0" borderId="7" xfId="3" applyFont="1" applyBorder="1" applyAlignment="1">
      <alignment horizontal="center" vertical="center" shrinkToFit="1"/>
    </xf>
    <xf numFmtId="166" fontId="2" fillId="0" borderId="14" xfId="3" applyNumberFormat="1" applyFont="1" applyBorder="1" applyAlignment="1">
      <alignment horizontal="right" vertical="center" shrinkToFit="1"/>
    </xf>
    <xf numFmtId="0" fontId="2" fillId="0" borderId="15" xfId="3" applyFont="1" applyBorder="1" applyAlignment="1">
      <alignment horizontal="center" vertical="center" shrinkToFit="1"/>
    </xf>
    <xf numFmtId="166" fontId="2" fillId="0" borderId="14" xfId="3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/>
    </xf>
    <xf numFmtId="0" fontId="2" fillId="0" borderId="11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9" xfId="3" applyFont="1" applyFill="1" applyBorder="1" applyAlignment="1">
      <alignment horizontal="center" vertical="center" shrinkToFit="1"/>
    </xf>
    <xf numFmtId="0" fontId="2" fillId="0" borderId="9" xfId="3" applyFont="1" applyFill="1" applyBorder="1" applyAlignment="1">
      <alignment horizontal="center" vertical="center" shrinkToFit="1"/>
    </xf>
    <xf numFmtId="0" fontId="2" fillId="0" borderId="4" xfId="3" applyFont="1" applyFill="1" applyBorder="1" applyAlignment="1">
      <alignment horizontal="center" vertical="center" shrinkToFit="1"/>
    </xf>
    <xf numFmtId="0" fontId="2" fillId="0" borderId="5" xfId="3" applyFont="1" applyFill="1" applyBorder="1" applyAlignment="1">
      <alignment horizontal="center" vertical="center" shrinkToFit="1"/>
    </xf>
    <xf numFmtId="167" fontId="2" fillId="0" borderId="6" xfId="0" applyNumberFormat="1" applyFont="1" applyBorder="1"/>
    <xf numFmtId="0" fontId="3" fillId="0" borderId="12" xfId="0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" fillId="2" borderId="3" xfId="0" applyFont="1" applyFill="1" applyBorder="1" applyAlignment="1">
      <alignment horizontal="center"/>
    </xf>
    <xf numFmtId="2" fontId="2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4" xfId="0" applyNumberFormat="1" applyFont="1" applyBorder="1"/>
    <xf numFmtId="0" fontId="3" fillId="2" borderId="2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1" fontId="2" fillId="0" borderId="12" xfId="0" applyNumberFormat="1" applyFont="1" applyBorder="1"/>
    <xf numFmtId="0" fontId="4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10" fontId="2" fillId="0" borderId="6" xfId="0" applyNumberFormat="1" applyFont="1" applyBorder="1" applyAlignment="1">
      <alignment shrinkToFit="1"/>
    </xf>
    <xf numFmtId="10" fontId="2" fillId="0" borderId="12" xfId="0" applyNumberFormat="1" applyFont="1" applyBorder="1" applyAlignment="1">
      <alignment shrinkToFit="1"/>
    </xf>
    <xf numFmtId="10" fontId="2" fillId="0" borderId="0" xfId="0" applyNumberFormat="1" applyFont="1" applyAlignment="1">
      <alignment shrinkToFit="1"/>
    </xf>
    <xf numFmtId="0" fontId="48" fillId="0" borderId="4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166" fontId="9" fillId="0" borderId="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6" xfId="0" applyNumberFormat="1" applyBorder="1"/>
    <xf numFmtId="0" fontId="0" fillId="0" borderId="5" xfId="0" applyBorder="1" applyAlignment="1">
      <alignment horizontal="center" vertical="top" wrapText="1"/>
    </xf>
    <xf numFmtId="2" fontId="0" fillId="0" borderId="5" xfId="0" applyNumberFormat="1" applyBorder="1"/>
    <xf numFmtId="0" fontId="0" fillId="0" borderId="6" xfId="0" applyBorder="1"/>
    <xf numFmtId="0" fontId="47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2" fontId="0" fillId="0" borderId="4" xfId="0" applyNumberFormat="1" applyBorder="1"/>
    <xf numFmtId="2" fontId="0" fillId="0" borderId="10" xfId="0" applyNumberFormat="1" applyBorder="1"/>
    <xf numFmtId="0" fontId="57" fillId="0" borderId="13" xfId="0" quotePrefix="1" applyFont="1" applyBorder="1" applyAlignment="1">
      <alignment horizontal="center" vertical="center" wrapText="1"/>
    </xf>
    <xf numFmtId="0" fontId="57" fillId="0" borderId="13" xfId="0" quotePrefix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quotePrefix="1" applyFont="1" applyFill="1" applyBorder="1" applyAlignment="1">
      <alignment horizontal="center" vertical="center" shrinkToFit="1"/>
    </xf>
    <xf numFmtId="0" fontId="0" fillId="0" borderId="12" xfId="0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4" xfId="0" applyFill="1" applyBorder="1"/>
    <xf numFmtId="0" fontId="0" fillId="2" borderId="0" xfId="0" applyFill="1"/>
    <xf numFmtId="0" fontId="5" fillId="2" borderId="15" xfId="0" applyFont="1" applyFill="1" applyBorder="1" applyAlignment="1">
      <alignment horizontal="center"/>
    </xf>
    <xf numFmtId="0" fontId="57" fillId="0" borderId="8" xfId="0" applyFont="1" applyBorder="1" applyAlignment="1">
      <alignment horizontal="center" vertical="top" wrapText="1"/>
    </xf>
    <xf numFmtId="2" fontId="0" fillId="0" borderId="8" xfId="0" applyNumberFormat="1" applyBorder="1"/>
    <xf numFmtId="164" fontId="47" fillId="0" borderId="6" xfId="0" applyNumberFormat="1" applyFont="1" applyBorder="1" applyAlignment="1">
      <alignment horizontal="right" vertical="center" wrapText="1"/>
    </xf>
    <xf numFmtId="164" fontId="47" fillId="0" borderId="7" xfId="0" applyNumberFormat="1" applyFont="1" applyBorder="1" applyAlignment="1">
      <alignment horizontal="right" vertical="center" wrapText="1"/>
    </xf>
    <xf numFmtId="0" fontId="57" fillId="0" borderId="6" xfId="0" applyFont="1" applyBorder="1" applyAlignment="1">
      <alignment horizontal="center" vertical="top" wrapText="1"/>
    </xf>
    <xf numFmtId="164" fontId="47" fillId="0" borderId="8" xfId="0" applyNumberFormat="1" applyFont="1" applyBorder="1" applyAlignment="1">
      <alignment horizontal="right" vertical="center" wrapText="1"/>
    </xf>
    <xf numFmtId="0" fontId="57" fillId="0" borderId="14" xfId="0" applyFont="1" applyBorder="1" applyAlignment="1">
      <alignment horizontal="center" vertical="top" wrapText="1"/>
    </xf>
    <xf numFmtId="2" fontId="0" fillId="0" borderId="14" xfId="0" applyNumberFormat="1" applyBorder="1"/>
    <xf numFmtId="164" fontId="47" fillId="0" borderId="0" xfId="0" applyNumberFormat="1" applyFont="1" applyAlignment="1">
      <alignment horizontal="right" vertical="center" wrapText="1"/>
    </xf>
    <xf numFmtId="164" fontId="47" fillId="0" borderId="15" xfId="0" applyNumberFormat="1" applyFont="1" applyBorder="1" applyAlignment="1">
      <alignment horizontal="right" vertical="center" wrapText="1"/>
    </xf>
    <xf numFmtId="0" fontId="57" fillId="0" borderId="0" xfId="0" applyFont="1" applyAlignment="1">
      <alignment horizontal="center" vertical="top" wrapText="1"/>
    </xf>
    <xf numFmtId="0" fontId="0" fillId="0" borderId="4" xfId="0" applyBorder="1"/>
    <xf numFmtId="164" fontId="47" fillId="0" borderId="14" xfId="0" applyNumberFormat="1" applyFont="1" applyBorder="1" applyAlignment="1">
      <alignment horizontal="right" vertical="center" wrapText="1"/>
    </xf>
    <xf numFmtId="2" fontId="0" fillId="0" borderId="13" xfId="0" applyNumberFormat="1" applyBorder="1"/>
    <xf numFmtId="0" fontId="0" fillId="0" borderId="10" xfId="0" applyBorder="1"/>
    <xf numFmtId="0" fontId="48" fillId="2" borderId="2" xfId="0" applyFont="1" applyFill="1" applyBorder="1" applyAlignment="1">
      <alignment horizontal="center"/>
    </xf>
    <xf numFmtId="0" fontId="57" fillId="0" borderId="12" xfId="0" quotePrefix="1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center" wrapText="1"/>
    </xf>
    <xf numFmtId="164" fontId="47" fillId="0" borderId="13" xfId="0" applyNumberFormat="1" applyFont="1" applyBorder="1" applyAlignment="1">
      <alignment horizontal="right" vertical="center" wrapText="1"/>
    </xf>
    <xf numFmtId="164" fontId="47" fillId="0" borderId="12" xfId="0" applyNumberFormat="1" applyFont="1" applyBorder="1" applyAlignment="1">
      <alignment horizontal="right" vertical="center" wrapText="1"/>
    </xf>
    <xf numFmtId="164" fontId="47" fillId="0" borderId="11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shrinkToFit="1"/>
    </xf>
    <xf numFmtId="0" fontId="48" fillId="2" borderId="9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shrinkToFit="1"/>
    </xf>
    <xf numFmtId="166" fontId="2" fillId="0" borderId="7" xfId="0" applyNumberFormat="1" applyFont="1" applyBorder="1" applyAlignment="1">
      <alignment shrinkToFit="1"/>
    </xf>
    <xf numFmtId="166" fontId="3" fillId="0" borderId="5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3" fillId="0" borderId="0" xfId="0" applyNumberFormat="1" applyFont="1" applyAlignment="1">
      <alignment shrinkToFit="1"/>
    </xf>
    <xf numFmtId="166" fontId="3" fillId="0" borderId="6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8" fontId="2" fillId="0" borderId="10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168" fontId="2" fillId="0" borderId="1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168" fontId="2" fillId="0" borderId="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shrinkToFit="1"/>
    </xf>
    <xf numFmtId="165" fontId="2" fillId="0" borderId="6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168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2" fontId="2" fillId="4" borderId="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shrinkToFit="1"/>
    </xf>
    <xf numFmtId="166" fontId="3" fillId="0" borderId="3" xfId="0" applyNumberFormat="1" applyFont="1" applyBorder="1" applyAlignment="1">
      <alignment horizontal="center" vertical="center"/>
    </xf>
    <xf numFmtId="164" fontId="45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59" fillId="0" borderId="7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60" fillId="0" borderId="1" xfId="3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1" fillId="0" borderId="23" xfId="0" applyFont="1" applyBorder="1"/>
    <xf numFmtId="0" fontId="62" fillId="0" borderId="0" xfId="4"/>
    <xf numFmtId="0" fontId="0" fillId="0" borderId="0" xfId="0" quotePrefix="1"/>
  </cellXfs>
  <cellStyles count="5">
    <cellStyle name="Hyperlink" xfId="4" builtinId="8"/>
    <cellStyle name="Normal" xfId="0" builtinId="0"/>
    <cellStyle name="Normal 2" xfId="1" xr:uid="{40FB6A2D-0FA9-41A7-9E15-6C33AB4F0367}"/>
    <cellStyle name="Normal 2 2" xfId="3" xr:uid="{93BAC3FC-13EE-4243-A6CC-A1E46E6F0005}"/>
    <cellStyle name="Normal 3" xfId="2" xr:uid="{8100D867-1F81-4977-BB4A-4A2815E697AC}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'11.5-1,2'!$C$3:$C$11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'11.5-1,2'!$L$3:$L$11</c:f>
              <c:numCache>
                <c:formatCode>0.000</c:formatCode>
                <c:ptCount val="9"/>
                <c:pt idx="0">
                  <c:v>3.1031588744443166</c:v>
                </c:pt>
                <c:pt idx="1">
                  <c:v>-1.6311125046603128</c:v>
                </c:pt>
                <c:pt idx="2">
                  <c:v>-4.3254442633728241</c:v>
                </c:pt>
                <c:pt idx="3">
                  <c:v>-4.8011686789397565</c:v>
                </c:pt>
                <c:pt idx="4">
                  <c:v>-4</c:v>
                </c:pt>
                <c:pt idx="5">
                  <c:v>-3.1182267093239635</c:v>
                </c:pt>
                <c:pt idx="6">
                  <c:v>-2.5068494097214606</c:v>
                </c:pt>
                <c:pt idx="7">
                  <c:v>-1.3488724885405781</c:v>
                </c:pt>
                <c:pt idx="8">
                  <c:v>1.5895538838284597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9-41F0-8C97-B8AA989C168A}"/>
            </c:ext>
          </c:extLst>
        </c:ser>
        <c:ser>
          <c:idx val="1"/>
          <c:order val="1"/>
          <c:tx>
            <c:v>y hat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'11.5-1,2'!$AB$3:$AB$23</c:f>
              <c:numCache>
                <c:formatCode>General</c:formatCode>
                <c:ptCount val="21"/>
                <c:pt idx="0">
                  <c:v>3.2327039680589573</c:v>
                </c:pt>
                <c:pt idx="1">
                  <c:v>0.65770883077641029</c:v>
                </c:pt>
                <c:pt idx="2">
                  <c:v>-1.2605988107118717</c:v>
                </c:pt>
                <c:pt idx="3">
                  <c:v>-2.6337862432030814</c:v>
                </c:pt>
                <c:pt idx="4">
                  <c:v>-3.5626511493979747</c:v>
                </c:pt>
                <c:pt idx="5">
                  <c:v>-4.1372216079008766</c:v>
                </c:pt>
                <c:pt idx="6">
                  <c:v>-4.4367560932196817</c:v>
                </c:pt>
                <c:pt idx="7">
                  <c:v>-4.5297434757658452</c:v>
                </c:pt>
                <c:pt idx="8">
                  <c:v>-4.4739030218543956</c:v>
                </c:pt>
                <c:pt idx="9">
                  <c:v>-4.3161843937039253</c:v>
                </c:pt>
                <c:pt idx="10">
                  <c:v>-4.0927676494365919</c:v>
                </c:pt>
                <c:pt idx="11">
                  <c:v>-3.8290632430781244</c:v>
                </c:pt>
                <c:pt idx="12">
                  <c:v>-3.5397120245578138</c:v>
                </c:pt>
                <c:pt idx="13">
                  <c:v>-3.2285852397085217</c:v>
                </c:pt>
                <c:pt idx="14">
                  <c:v>-2.8887845302666739</c:v>
                </c:pt>
                <c:pt idx="15">
                  <c:v>-2.5026419338722654</c:v>
                </c:pt>
                <c:pt idx="16">
                  <c:v>-2.041719884068856</c:v>
                </c:pt>
                <c:pt idx="17">
                  <c:v>-1.4668112103035731</c:v>
                </c:pt>
                <c:pt idx="18">
                  <c:v>-0.72793913792711207</c:v>
                </c:pt>
                <c:pt idx="19">
                  <c:v>0.23564271180626628</c:v>
                </c:pt>
                <c:pt idx="20">
                  <c:v>1.4954503217387356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9-41F0-8C97-B8AA989C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266752"/>
        <c:axId val="609268752"/>
      </c:scatterChart>
      <c:valAx>
        <c:axId val="6092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8752"/>
        <c:crosses val="autoZero"/>
        <c:crossBetween val="midCat"/>
      </c:valAx>
      <c:valAx>
        <c:axId val="6092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0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'11.5-1,2'!$W$3:$W$23</c:f>
              <c:numCache>
                <c:formatCode>General</c:formatCode>
                <c:ptCount val="21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8-4895-A5C2-828EDF35984A}"/>
            </c:ext>
          </c:extLst>
        </c:ser>
        <c:ser>
          <c:idx val="1"/>
          <c:order val="1"/>
          <c:tx>
            <c:v>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'11.5-1,2'!$X$3:$X$23</c:f>
              <c:numCache>
                <c:formatCode>General</c:formatCode>
                <c:ptCount val="21"/>
                <c:pt idx="0">
                  <c:v>-0.5163977794943222</c:v>
                </c:pt>
                <c:pt idx="1">
                  <c:v>-0.46475800154489</c:v>
                </c:pt>
                <c:pt idx="2">
                  <c:v>-0.4131182235954578</c:v>
                </c:pt>
                <c:pt idx="3">
                  <c:v>-0.36147844564602555</c:v>
                </c:pt>
                <c:pt idx="4">
                  <c:v>-0.30983866769659335</c:v>
                </c:pt>
                <c:pt idx="5">
                  <c:v>-0.25819888974716115</c:v>
                </c:pt>
                <c:pt idx="6">
                  <c:v>-0.20655911179772896</c:v>
                </c:pt>
                <c:pt idx="7">
                  <c:v>-0.15491933384829673</c:v>
                </c:pt>
                <c:pt idx="8">
                  <c:v>-0.10327955589886452</c:v>
                </c:pt>
                <c:pt idx="9">
                  <c:v>-5.1639777949432294E-2</c:v>
                </c:pt>
                <c:pt idx="10">
                  <c:v>-7.1664588082487622E-17</c:v>
                </c:pt>
                <c:pt idx="11">
                  <c:v>5.1639777949432149E-2</c:v>
                </c:pt>
                <c:pt idx="12">
                  <c:v>0.10327955589886437</c:v>
                </c:pt>
                <c:pt idx="13">
                  <c:v>0.15491933384829659</c:v>
                </c:pt>
                <c:pt idx="14">
                  <c:v>0.20655911179772884</c:v>
                </c:pt>
                <c:pt idx="15">
                  <c:v>0.25819888974716104</c:v>
                </c:pt>
                <c:pt idx="16">
                  <c:v>0.30983866769659324</c:v>
                </c:pt>
                <c:pt idx="17">
                  <c:v>0.36147844564602544</c:v>
                </c:pt>
                <c:pt idx="18">
                  <c:v>0.41311822359545769</c:v>
                </c:pt>
                <c:pt idx="19">
                  <c:v>0.46475800154488989</c:v>
                </c:pt>
                <c:pt idx="20">
                  <c:v>0.51639777949432208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8-4895-A5C2-828EDF35984A}"/>
            </c:ext>
          </c:extLst>
        </c:ser>
        <c:ser>
          <c:idx val="2"/>
          <c:order val="2"/>
          <c:tx>
            <c:v>2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'11.5-1,2'!$Y$3:$Y$23</c:f>
              <c:numCache>
                <c:formatCode>General</c:formatCode>
                <c:ptCount val="21"/>
                <c:pt idx="0">
                  <c:v>0.53181602347831047</c:v>
                </c:pt>
                <c:pt idx="1">
                  <c:v>0.35859594725966076</c:v>
                </c:pt>
                <c:pt idx="2">
                  <c:v>0.20360956327455321</c:v>
                </c:pt>
                <c:pt idx="3">
                  <c:v>6.6856871522987693E-2</c:v>
                </c:pt>
                <c:pt idx="4">
                  <c:v>-5.1662127995035778E-2</c:v>
                </c:pt>
                <c:pt idx="5">
                  <c:v>-0.15194743527951715</c:v>
                </c:pt>
                <c:pt idx="6">
                  <c:v>-0.23399905033045648</c:v>
                </c:pt>
                <c:pt idx="7">
                  <c:v>-0.29781697314785371</c:v>
                </c:pt>
                <c:pt idx="8">
                  <c:v>-0.34340120373170896</c:v>
                </c:pt>
                <c:pt idx="9">
                  <c:v>-0.37075174208202211</c:v>
                </c:pt>
                <c:pt idx="10">
                  <c:v>-0.37986858819879316</c:v>
                </c:pt>
                <c:pt idx="11">
                  <c:v>-0.37075174208202216</c:v>
                </c:pt>
                <c:pt idx="12">
                  <c:v>-0.34340120373170907</c:v>
                </c:pt>
                <c:pt idx="13">
                  <c:v>-0.29781697314785388</c:v>
                </c:pt>
                <c:pt idx="14">
                  <c:v>-0.23399905033045665</c:v>
                </c:pt>
                <c:pt idx="15">
                  <c:v>-0.15194743527951737</c:v>
                </c:pt>
                <c:pt idx="16">
                  <c:v>-5.1662127995036056E-2</c:v>
                </c:pt>
                <c:pt idx="17">
                  <c:v>6.685687152298736E-2</c:v>
                </c:pt>
                <c:pt idx="18">
                  <c:v>0.20360956327455287</c:v>
                </c:pt>
                <c:pt idx="19">
                  <c:v>0.35859594725966043</c:v>
                </c:pt>
                <c:pt idx="20">
                  <c:v>0.53181602347831003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8-4895-A5C2-828EDF35984A}"/>
            </c:ext>
          </c:extLst>
        </c:ser>
        <c:ser>
          <c:idx val="3"/>
          <c:order val="3"/>
          <c:tx>
            <c:v>3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'11.5-1,2'!$Z$3:$Z$23</c:f>
              <c:numCache>
                <c:formatCode>General</c:formatCode>
                <c:ptCount val="21"/>
                <c:pt idx="0">
                  <c:v>-0.44494920831460982</c:v>
                </c:pt>
                <c:pt idx="1">
                  <c:v>-0.11060166035248886</c:v>
                </c:pt>
                <c:pt idx="2">
                  <c:v>0.13221347904205516</c:v>
                </c:pt>
                <c:pt idx="3">
                  <c:v>0.2936664774876423</c:v>
                </c:pt>
                <c:pt idx="4">
                  <c:v>0.38392760260289172</c:v>
                </c:pt>
                <c:pt idx="5">
                  <c:v>0.41316712200642325</c:v>
                </c:pt>
                <c:pt idx="6">
                  <c:v>0.39155530331685651</c:v>
                </c:pt>
                <c:pt idx="7">
                  <c:v>0.32926241415281132</c:v>
                </c:pt>
                <c:pt idx="8">
                  <c:v>0.236458722132907</c:v>
                </c:pt>
                <c:pt idx="9">
                  <c:v>0.12331449487576342</c:v>
                </c:pt>
                <c:pt idx="10">
                  <c:v>1.734855862840314E-16</c:v>
                </c:pt>
                <c:pt idx="11">
                  <c:v>-0.1233144948757631</c:v>
                </c:pt>
                <c:pt idx="12">
                  <c:v>-0.23645872213290672</c:v>
                </c:pt>
                <c:pt idx="13">
                  <c:v>-0.32926241415281104</c:v>
                </c:pt>
                <c:pt idx="14">
                  <c:v>-0.39155530331685651</c:v>
                </c:pt>
                <c:pt idx="15">
                  <c:v>-0.41316712200642325</c:v>
                </c:pt>
                <c:pt idx="16">
                  <c:v>-0.38392760260289188</c:v>
                </c:pt>
                <c:pt idx="17">
                  <c:v>-0.29366647748764263</c:v>
                </c:pt>
                <c:pt idx="18">
                  <c:v>-0.13221347904205571</c:v>
                </c:pt>
                <c:pt idx="19">
                  <c:v>0.11060166035248842</c:v>
                </c:pt>
                <c:pt idx="20">
                  <c:v>0.44494920831460893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8-4895-A5C2-828EDF35984A}"/>
            </c:ext>
          </c:extLst>
        </c:ser>
        <c:ser>
          <c:idx val="4"/>
          <c:order val="4"/>
          <c:tx>
            <c:v>4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'11.5-1,2'!$AA$3:$AA$23</c:f>
              <c:numCache>
                <c:formatCode>General</c:formatCode>
                <c:ptCount val="21"/>
                <c:pt idx="0">
                  <c:v>0.31289310938737147</c:v>
                </c:pt>
                <c:pt idx="1">
                  <c:v>-0.18376659304476561</c:v>
                </c:pt>
                <c:pt idx="2">
                  <c:v>-0.42388970499175982</c:v>
                </c:pt>
                <c:pt idx="3">
                  <c:v>-0.47556176705630282</c:v>
                </c:pt>
                <c:pt idx="4">
                  <c:v>-0.39885825624077009</c:v>
                </c:pt>
                <c:pt idx="5">
                  <c:v>-0.24584458594722033</c:v>
                </c:pt>
                <c:pt idx="6">
                  <c:v>-6.0576105977395212E-2</c:v>
                </c:pt>
                <c:pt idx="7">
                  <c:v>0.12090189746728014</c:v>
                </c:pt>
                <c:pt idx="8">
                  <c:v>0.27055420178569722</c:v>
                </c:pt>
                <c:pt idx="9">
                  <c:v>0.36835564797706427</c:v>
                </c:pt>
                <c:pt idx="10">
                  <c:v>0.40229114064090615</c:v>
                </c:pt>
                <c:pt idx="11">
                  <c:v>0.36835564797706444</c:v>
                </c:pt>
                <c:pt idx="12">
                  <c:v>0.27055420178569761</c:v>
                </c:pt>
                <c:pt idx="13">
                  <c:v>0.12090189746728065</c:v>
                </c:pt>
                <c:pt idx="14">
                  <c:v>-6.0576105977394754E-2</c:v>
                </c:pt>
                <c:pt idx="15">
                  <c:v>-0.24584458594722006</c:v>
                </c:pt>
                <c:pt idx="16">
                  <c:v>-0.39885825624076987</c:v>
                </c:pt>
                <c:pt idx="17">
                  <c:v>-0.47556176705630271</c:v>
                </c:pt>
                <c:pt idx="18">
                  <c:v>-0.42388970499176004</c:v>
                </c:pt>
                <c:pt idx="19">
                  <c:v>-0.18376659304476695</c:v>
                </c:pt>
                <c:pt idx="20">
                  <c:v>0.31289310938736969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8-4895-A5C2-828EDF35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1520"/>
        <c:axId val="1068143520"/>
      </c:scatterChart>
      <c:valAx>
        <c:axId val="106814152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3520"/>
        <c:crosses val="autoZero"/>
        <c:crossBetween val="midCat"/>
      </c:valAx>
      <c:valAx>
        <c:axId val="10681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'11.6-1,2'!$C$3:$C$11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'11.6-1,2'!$L$3:$L$11</c:f>
              <c:numCache>
                <c:formatCode>0.000</c:formatCode>
                <c:ptCount val="9"/>
                <c:pt idx="0">
                  <c:v>3.1031588744443166</c:v>
                </c:pt>
                <c:pt idx="1">
                  <c:v>-1.6311125046603128</c:v>
                </c:pt>
                <c:pt idx="2">
                  <c:v>-4.3254442633728241</c:v>
                </c:pt>
                <c:pt idx="3">
                  <c:v>-4.8011686789397565</c:v>
                </c:pt>
                <c:pt idx="4">
                  <c:v>-4</c:v>
                </c:pt>
                <c:pt idx="5">
                  <c:v>-3.1182267093239635</c:v>
                </c:pt>
                <c:pt idx="6">
                  <c:v>-2.5068494097214606</c:v>
                </c:pt>
                <c:pt idx="7">
                  <c:v>-1.3488724885405781</c:v>
                </c:pt>
                <c:pt idx="8">
                  <c:v>1.5895538838284597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7-45BA-8689-D101D418986E}"/>
            </c:ext>
          </c:extLst>
        </c:ser>
        <c:ser>
          <c:idx val="1"/>
          <c:order val="1"/>
          <c:tx>
            <c:v>y hat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'11.6-1,2'!$AB$3:$AB$23</c:f>
              <c:numCache>
                <c:formatCode>General</c:formatCode>
                <c:ptCount val="21"/>
                <c:pt idx="0">
                  <c:v>3.2327039680589573</c:v>
                </c:pt>
                <c:pt idx="1">
                  <c:v>0.65770883077641029</c:v>
                </c:pt>
                <c:pt idx="2">
                  <c:v>-1.2605988107118717</c:v>
                </c:pt>
                <c:pt idx="3">
                  <c:v>-2.6337862432030814</c:v>
                </c:pt>
                <c:pt idx="4">
                  <c:v>-3.5626511493979747</c:v>
                </c:pt>
                <c:pt idx="5">
                  <c:v>-4.1372216079008766</c:v>
                </c:pt>
                <c:pt idx="6">
                  <c:v>-4.4367560932196817</c:v>
                </c:pt>
                <c:pt idx="7">
                  <c:v>-4.5297434757658452</c:v>
                </c:pt>
                <c:pt idx="8">
                  <c:v>-4.4739030218543956</c:v>
                </c:pt>
                <c:pt idx="9">
                  <c:v>-4.3161843937039253</c:v>
                </c:pt>
                <c:pt idx="10">
                  <c:v>-4.0927676494365919</c:v>
                </c:pt>
                <c:pt idx="11">
                  <c:v>-3.8290632430781244</c:v>
                </c:pt>
                <c:pt idx="12">
                  <c:v>-3.5397120245578138</c:v>
                </c:pt>
                <c:pt idx="13">
                  <c:v>-3.2285852397085217</c:v>
                </c:pt>
                <c:pt idx="14">
                  <c:v>-2.8887845302666739</c:v>
                </c:pt>
                <c:pt idx="15">
                  <c:v>-2.5026419338722654</c:v>
                </c:pt>
                <c:pt idx="16">
                  <c:v>-2.041719884068856</c:v>
                </c:pt>
                <c:pt idx="17">
                  <c:v>-1.4668112103035731</c:v>
                </c:pt>
                <c:pt idx="18">
                  <c:v>-0.72793913792711207</c:v>
                </c:pt>
                <c:pt idx="19">
                  <c:v>0.23564271180626628</c:v>
                </c:pt>
                <c:pt idx="20">
                  <c:v>1.4954503217387356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57-45BA-8689-D101D418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266752"/>
        <c:axId val="609268752"/>
      </c:scatterChart>
      <c:valAx>
        <c:axId val="6092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8752"/>
        <c:crosses val="autoZero"/>
        <c:crossBetween val="midCat"/>
      </c:valAx>
      <c:valAx>
        <c:axId val="6092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0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'11.6-1,2'!$W$3:$W$23</c:f>
              <c:numCache>
                <c:formatCode>General</c:formatCode>
                <c:ptCount val="21"/>
                <c:pt idx="0">
                  <c:v>1.6896274735316519E-2</c:v>
                </c:pt>
                <c:pt idx="1">
                  <c:v>-9.9574030743264763E-2</c:v>
                </c:pt>
                <c:pt idx="2">
                  <c:v>-0.11099141094947507</c:v>
                </c:pt>
                <c:pt idx="3">
                  <c:v>-4.8286830255557689E-2</c:v>
                </c:pt>
                <c:pt idx="4">
                  <c:v>6.12476839512133E-2</c:v>
                </c:pt>
                <c:pt idx="5">
                  <c:v>0.19395904126853394</c:v>
                </c:pt>
                <c:pt idx="6">
                  <c:v>0.3298330882790701</c:v>
                </c:pt>
                <c:pt idx="7">
                  <c:v>0.45249460855045759</c:v>
                </c:pt>
                <c:pt idx="8">
                  <c:v>0.54920732263530181</c:v>
                </c:pt>
                <c:pt idx="9">
                  <c:v>0.61087388807117826</c:v>
                </c:pt>
                <c:pt idx="10">
                  <c:v>0.63203589938063209</c:v>
                </c:pt>
                <c:pt idx="11">
                  <c:v>0.61087388807117837</c:v>
                </c:pt>
                <c:pt idx="12">
                  <c:v>0.54920732263530203</c:v>
                </c:pt>
                <c:pt idx="13">
                  <c:v>0.45249460855045792</c:v>
                </c:pt>
                <c:pt idx="14">
                  <c:v>0.32983308827907043</c:v>
                </c:pt>
                <c:pt idx="15">
                  <c:v>0.19395904126853422</c:v>
                </c:pt>
                <c:pt idx="16">
                  <c:v>6.124768395121355E-2</c:v>
                </c:pt>
                <c:pt idx="17">
                  <c:v>-4.8286830255557467E-2</c:v>
                </c:pt>
                <c:pt idx="18">
                  <c:v>-0.11099141094947484</c:v>
                </c:pt>
                <c:pt idx="19">
                  <c:v>-9.9574030743264985E-2</c:v>
                </c:pt>
                <c:pt idx="20">
                  <c:v>1.6896274735316075E-2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6-43F3-B6BC-05806D5BABCD}"/>
            </c:ext>
          </c:extLst>
        </c:ser>
        <c:ser>
          <c:idx val="1"/>
          <c:order val="1"/>
          <c:tx>
            <c:v>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'11.6-1,2'!$X$3:$X$23</c:f>
              <c:numCache>
                <c:formatCode>General</c:formatCode>
                <c:ptCount val="21"/>
                <c:pt idx="0">
                  <c:v>0.16818126881643192</c:v>
                </c:pt>
                <c:pt idx="1">
                  <c:v>-0.10811350898793171</c:v>
                </c:pt>
                <c:pt idx="2">
                  <c:v>-0.30246829176406786</c:v>
                </c:pt>
                <c:pt idx="3">
                  <c:v>-0.42398752340400181</c:v>
                </c:pt>
                <c:pt idx="4">
                  <c:v>-0.48177564779975884</c:v>
                </c:pt>
                <c:pt idx="5">
                  <c:v>-0.48493710884336411</c:v>
                </c:pt>
                <c:pt idx="6">
                  <c:v>-0.44257635042684301</c:v>
                </c:pt>
                <c:pt idx="7">
                  <c:v>-0.36379781644222087</c:v>
                </c:pt>
                <c:pt idx="8">
                  <c:v>-0.25770595078152275</c:v>
                </c:pt>
                <c:pt idx="9">
                  <c:v>-0.13340519733677414</c:v>
                </c:pt>
                <c:pt idx="10">
                  <c:v>-1.872427277839643E-16</c:v>
                </c:pt>
                <c:pt idx="11">
                  <c:v>0.13340519733677378</c:v>
                </c:pt>
                <c:pt idx="12">
                  <c:v>0.25770595078152247</c:v>
                </c:pt>
                <c:pt idx="13">
                  <c:v>0.36379781644222059</c:v>
                </c:pt>
                <c:pt idx="14">
                  <c:v>0.44257635042684296</c:v>
                </c:pt>
                <c:pt idx="15">
                  <c:v>0.48493710884336416</c:v>
                </c:pt>
                <c:pt idx="16">
                  <c:v>0.48177564779975901</c:v>
                </c:pt>
                <c:pt idx="17">
                  <c:v>0.42398752340400214</c:v>
                </c:pt>
                <c:pt idx="18">
                  <c:v>0.30246829176406831</c:v>
                </c:pt>
                <c:pt idx="19">
                  <c:v>0.10811350898793237</c:v>
                </c:pt>
                <c:pt idx="20">
                  <c:v>-0.16818126881643103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6-43F3-B6BC-05806D5BABCD}"/>
            </c:ext>
          </c:extLst>
        </c:ser>
        <c:ser>
          <c:idx val="2"/>
          <c:order val="2"/>
          <c:tx>
            <c:v>2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'11.6-1,2'!$Y$3:$Y$23</c:f>
              <c:numCache>
                <c:formatCode>General</c:formatCode>
                <c:ptCount val="21"/>
                <c:pt idx="0">
                  <c:v>-0.15188089700660257</c:v>
                </c:pt>
                <c:pt idx="1">
                  <c:v>0.28985133117898476</c:v>
                </c:pt>
                <c:pt idx="2">
                  <c:v>0.51083650465928376</c:v>
                </c:pt>
                <c:pt idx="3">
                  <c:v>0.56915759857515991</c:v>
                </c:pt>
                <c:pt idx="4">
                  <c:v>0.51606429687443467</c:v>
                </c:pt>
                <c:pt idx="5">
                  <c:v>0.39597299231188715</c:v>
                </c:pt>
                <c:pt idx="6">
                  <c:v>0.24646678644925357</c:v>
                </c:pt>
                <c:pt idx="7">
                  <c:v>9.8295489655227081E-2</c:v>
                </c:pt>
                <c:pt idx="8">
                  <c:v>-2.4624378894542075E-2</c:v>
                </c:pt>
                <c:pt idx="9">
                  <c:v>-0.10520959121744655</c:v>
                </c:pt>
                <c:pt idx="10">
                  <c:v>-0.13321021052392193</c:v>
                </c:pt>
                <c:pt idx="11">
                  <c:v>-0.10520959121744672</c:v>
                </c:pt>
                <c:pt idx="12">
                  <c:v>-2.462437889454237E-2</c:v>
                </c:pt>
                <c:pt idx="13">
                  <c:v>9.829548965522672E-2</c:v>
                </c:pt>
                <c:pt idx="14">
                  <c:v>0.24646678644925318</c:v>
                </c:pt>
                <c:pt idx="15">
                  <c:v>0.39597299231188682</c:v>
                </c:pt>
                <c:pt idx="16">
                  <c:v>0.51606429687443434</c:v>
                </c:pt>
                <c:pt idx="17">
                  <c:v>0.56915759857515991</c:v>
                </c:pt>
                <c:pt idx="18">
                  <c:v>0.51083650465928421</c:v>
                </c:pt>
                <c:pt idx="19">
                  <c:v>0.28985133117898543</c:v>
                </c:pt>
                <c:pt idx="20">
                  <c:v>-0.15188089700660123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F6-43F3-B6BC-05806D5BABCD}"/>
            </c:ext>
          </c:extLst>
        </c:ser>
        <c:ser>
          <c:idx val="3"/>
          <c:order val="3"/>
          <c:tx>
            <c:v>3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'11.6-1,2'!$Z$3:$Z$23</c:f>
              <c:numCache>
                <c:formatCode>General</c:formatCode>
                <c:ptCount val="21"/>
                <c:pt idx="0">
                  <c:v>-0.66057666130870873</c:v>
                </c:pt>
                <c:pt idx="1">
                  <c:v>-0.46534309541137869</c:v>
                </c:pt>
                <c:pt idx="2">
                  <c:v>-0.31090191891398311</c:v>
                </c:pt>
                <c:pt idx="3">
                  <c:v>-0.19272064410541814</c:v>
                </c:pt>
                <c:pt idx="4">
                  <c:v>-0.10626678327458003</c:v>
                </c:pt>
                <c:pt idx="5">
                  <c:v>-4.7007848710364911E-2</c:v>
                </c:pt>
                <c:pt idx="6">
                  <c:v>-1.041135270166893E-2</c:v>
                </c:pt>
                <c:pt idx="7">
                  <c:v>8.0551924626117224E-3</c:v>
                </c:pt>
                <c:pt idx="8">
                  <c:v>1.2924274493580881E-2</c:v>
                </c:pt>
                <c:pt idx="9">
                  <c:v>8.7283811023423676E-3</c:v>
                </c:pt>
                <c:pt idx="10">
                  <c:v>1.3161410462674912E-17</c:v>
                </c:pt>
                <c:pt idx="11">
                  <c:v>-8.7283811023423467E-3</c:v>
                </c:pt>
                <c:pt idx="12">
                  <c:v>-1.2924274493580879E-2</c:v>
                </c:pt>
                <c:pt idx="13">
                  <c:v>-8.0551924626117537E-3</c:v>
                </c:pt>
                <c:pt idx="14">
                  <c:v>1.0411352701668868E-2</c:v>
                </c:pt>
                <c:pt idx="15">
                  <c:v>4.70078487103648E-2</c:v>
                </c:pt>
                <c:pt idx="16">
                  <c:v>0.10626678327457986</c:v>
                </c:pt>
                <c:pt idx="17">
                  <c:v>0.19272064410541789</c:v>
                </c:pt>
                <c:pt idx="18">
                  <c:v>0.31090191891398278</c:v>
                </c:pt>
                <c:pt idx="19">
                  <c:v>0.46534309541137825</c:v>
                </c:pt>
                <c:pt idx="20">
                  <c:v>0.66057666130870818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F6-43F3-B6BC-05806D5BABCD}"/>
            </c:ext>
          </c:extLst>
        </c:ser>
        <c:ser>
          <c:idx val="4"/>
          <c:order val="4"/>
          <c:tx>
            <c:v>4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'11.6-1,2'!$AA$3:$AA$23</c:f>
              <c:numCache>
                <c:formatCode>General</c:formatCode>
                <c:ptCount val="21"/>
                <c:pt idx="0">
                  <c:v>0.68446197912376938</c:v>
                </c:pt>
                <c:pt idx="1">
                  <c:v>0.42372578802423511</c:v>
                </c:pt>
                <c:pt idx="2">
                  <c:v>0.242852670499833</c:v>
                </c:pt>
                <c:pt idx="3">
                  <c:v>0.12437024030971301</c:v>
                </c:pt>
                <c:pt idx="4">
                  <c:v>5.2861686064890265E-2</c:v>
                </c:pt>
                <c:pt idx="5">
                  <c:v>1.4965771228244142E-2</c:v>
                </c:pt>
                <c:pt idx="6">
                  <c:v>-6.2316588548113477E-4</c:v>
                </c:pt>
                <c:pt idx="7">
                  <c:v>-3.1552121096766811E-3</c:v>
                </c:pt>
                <c:pt idx="8">
                  <c:v>1.7512057413108986E-4</c:v>
                </c:pt>
                <c:pt idx="9">
                  <c:v>4.228895036280449E-3</c:v>
                </c:pt>
                <c:pt idx="10">
                  <c:v>5.922748998974354E-3</c:v>
                </c:pt>
                <c:pt idx="11">
                  <c:v>4.2288950362804577E-3</c:v>
                </c:pt>
                <c:pt idx="12">
                  <c:v>1.7512057413110135E-4</c:v>
                </c:pt>
                <c:pt idx="13">
                  <c:v>-3.1552121096766793E-3</c:v>
                </c:pt>
                <c:pt idx="14">
                  <c:v>-6.2316588548115559E-4</c:v>
                </c:pt>
                <c:pt idx="15">
                  <c:v>1.4965771228244086E-2</c:v>
                </c:pt>
                <c:pt idx="16">
                  <c:v>5.2861686064890154E-2</c:v>
                </c:pt>
                <c:pt idx="17">
                  <c:v>0.12437024030971282</c:v>
                </c:pt>
                <c:pt idx="18">
                  <c:v>0.2428526704998325</c:v>
                </c:pt>
                <c:pt idx="19">
                  <c:v>0.42372578802423455</c:v>
                </c:pt>
                <c:pt idx="20">
                  <c:v>0.68446197912376872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F6-43F3-B6BC-05806D5B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1520"/>
        <c:axId val="1068143520"/>
      </c:scatterChart>
      <c:valAx>
        <c:axId val="106814152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3520"/>
        <c:crosses val="autoZero"/>
        <c:crossBetween val="midCat"/>
      </c:valAx>
      <c:valAx>
        <c:axId val="10681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41835113604195E-2"/>
          <c:y val="2.5428331875182269E-2"/>
          <c:w val="0.94735882519453962"/>
          <c:h val="0.949143336249635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027777777777795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870EAF32-B793-4290-832D-E05CECF24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D70-45B2-A200-E712788BEB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3805F1-99D3-4B96-903D-759398164A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D70-45B2-A200-E712788BEB27}"/>
                </c:ext>
              </c:extLst>
            </c:dLbl>
            <c:dLbl>
              <c:idx val="2"/>
              <c:layout>
                <c:manualLayout>
                  <c:x val="-8.9214966984592817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E29B0B7C-FA44-45A7-BE24-19EE091553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70-45B2-A200-E712788BEB27}"/>
                </c:ext>
              </c:extLst>
            </c:dLbl>
            <c:dLbl>
              <c:idx val="3"/>
              <c:layout>
                <c:manualLayout>
                  <c:x val="-4.6911340777927447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0C8906B2-4497-4552-A14C-7C14A56A5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70-45B2-A200-E712788BEB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32351F-55AE-4AF2-803D-B87EAF535C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D70-45B2-A200-E712788BEB2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4D703B3-7D62-4353-96E5-DDC13F8F0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D70-45B2-A200-E712788BEB2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3E67CAA-A859-48FE-A867-304A1C9843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D70-45B2-A200-E712788BE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'12.7-1'!$F$3:$F$9</c:f>
              <c:numCache>
                <c:formatCode>0.000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xVal>
          <c:yVal>
            <c:numRef>
              <c:f>'12.7-1'!$C$3:$C$9</c:f>
              <c:numCache>
                <c:formatCode>0.000</c:formatCode>
                <c:ptCount val="7"/>
                <c:pt idx="0">
                  <c:v>7.4999999999999997E-2</c:v>
                </c:pt>
                <c:pt idx="1">
                  <c:v>0.10000000000000009</c:v>
                </c:pt>
                <c:pt idx="2">
                  <c:v>0.47499999999999964</c:v>
                </c:pt>
                <c:pt idx="3">
                  <c:v>0.5</c:v>
                </c:pt>
                <c:pt idx="4">
                  <c:v>1.2999999999999998</c:v>
                </c:pt>
                <c:pt idx="5">
                  <c:v>3.2749999999999995</c:v>
                </c:pt>
                <c:pt idx="6">
                  <c:v>3.3749999999999996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'12.7-1'!$D$3:$D$9</c15:f>
                <c15:dlblRangeCache>
                  <c:ptCount val="7"/>
                  <c:pt idx="0">
                    <c:v>APH x BWT</c:v>
                  </c:pt>
                  <c:pt idx="1">
                    <c:v>O2 x APH x BWT</c:v>
                  </c:pt>
                  <c:pt idx="2">
                    <c:v>O2 x BWT</c:v>
                  </c:pt>
                  <c:pt idx="3">
                    <c:v>O2 x APH</c:v>
                  </c:pt>
                  <c:pt idx="4">
                    <c:v>BWT</c:v>
                  </c:pt>
                  <c:pt idx="5">
                    <c:v>APH</c:v>
                  </c:pt>
                  <c:pt idx="6">
                    <c:v>O2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D70-45B2-A200-E712788BEB27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'12.7-1'!$G$3:$G$9</c:f>
              <c:numCache>
                <c:formatCode>General</c:formatCode>
                <c:ptCount val="7"/>
                <c:pt idx="0">
                  <c:v>-2.1121316745237935</c:v>
                </c:pt>
                <c:pt idx="1">
                  <c:v>-1.1411455199419929</c:v>
                </c:pt>
                <c:pt idx="2">
                  <c:v>-0.52774160431130301</c:v>
                </c:pt>
                <c:pt idx="3">
                  <c:v>0</c:v>
                </c:pt>
                <c:pt idx="4">
                  <c:v>0.52774160431130313</c:v>
                </c:pt>
                <c:pt idx="5">
                  <c:v>1.1411455199419929</c:v>
                </c:pt>
                <c:pt idx="6">
                  <c:v>2.1121316745237939</c:v>
                </c:pt>
              </c:numCache>
            </c:numRef>
          </c:xVal>
          <c:yVal>
            <c:numRef>
              <c:f>'12.7-1'!$F$3:$F$9</c:f>
              <c:numCache>
                <c:formatCode>0.000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70-45B2-A200-E712788BEB2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'12.7-1'!$F$3:$F$6</c:f>
              <c:numCache>
                <c:formatCode>0.000</c:formatCode>
                <c:ptCount val="4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</c:numCache>
            </c:numRef>
          </c:xVal>
          <c:yVal>
            <c:numRef>
              <c:f>'12.7-1'!$E$3:$E$6</c:f>
              <c:numCache>
                <c:formatCode>0.000</c:formatCode>
                <c:ptCount val="4"/>
                <c:pt idx="0">
                  <c:v>7.1428571428571425E-2</c:v>
                </c:pt>
                <c:pt idx="1">
                  <c:v>0.21428571428571427</c:v>
                </c:pt>
                <c:pt idx="2">
                  <c:v>0.35714285714285715</c:v>
                </c:pt>
                <c:pt idx="3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70-45B2-A200-E712788B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443664"/>
        <c:axId val="1098629936"/>
      </c:scatterChart>
      <c:valAx>
        <c:axId val="1071443664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Normal Ordinate</a:t>
                </a:r>
              </a:p>
            </c:rich>
          </c:tx>
          <c:layout>
            <c:manualLayout>
              <c:xMode val="edge"/>
              <c:yMode val="edge"/>
              <c:x val="0.62706165764495869"/>
              <c:y val="0.735161854768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629936"/>
        <c:crosses val="autoZero"/>
        <c:crossBetween val="midCat"/>
      </c:valAx>
      <c:valAx>
        <c:axId val="1098629936"/>
        <c:scaling>
          <c:orientation val="minMax"/>
          <c:max val="4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Coefficient Value</a:t>
                </a:r>
              </a:p>
            </c:rich>
          </c:tx>
          <c:layout>
            <c:manualLayout>
              <c:xMode val="edge"/>
              <c:yMode val="edge"/>
              <c:x val="0.3961848862802641"/>
              <c:y val="0.10466426071741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44366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Fuel Staging, </a:t>
            </a:r>
            <a:r>
              <a:rPr lang="en-US" i="1"/>
              <a:t>p</a:t>
            </a:r>
            <a:r>
              <a:rPr lang="en-US"/>
              <a:t> = 0.3727</a:t>
            </a:r>
          </a:p>
        </c:rich>
      </c:tx>
      <c:layout>
        <c:manualLayout>
          <c:xMode val="edge"/>
          <c:yMode val="edge"/>
          <c:x val="0.11350770497345648"/>
          <c:y val="2.4582104228121928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'16.7-1,2,3'!$AE$3:$AE$30</c:f>
              <c:numCache>
                <c:formatCode>0.000</c:formatCode>
                <c:ptCount val="28"/>
                <c:pt idx="0">
                  <c:v>1.6144117922883838E-2</c:v>
                </c:pt>
                <c:pt idx="1">
                  <c:v>1.0166287352359804E-2</c:v>
                </c:pt>
                <c:pt idx="2">
                  <c:v>-1.1339182128283776E-2</c:v>
                </c:pt>
                <c:pt idx="3">
                  <c:v>-2.24897724270261E-2</c:v>
                </c:pt>
                <c:pt idx="4">
                  <c:v>6.5505437729054261E-3</c:v>
                </c:pt>
                <c:pt idx="5">
                  <c:v>4.0671495821995585E-3</c:v>
                </c:pt>
                <c:pt idx="6">
                  <c:v>1.1181143721266551E-2</c:v>
                </c:pt>
                <c:pt idx="7">
                  <c:v>4.0671495821995585E-3</c:v>
                </c:pt>
                <c:pt idx="8">
                  <c:v>6.1361817543772457E-3</c:v>
                </c:pt>
                <c:pt idx="9">
                  <c:v>-8.4596275970720836E-3</c:v>
                </c:pt>
                <c:pt idx="10">
                  <c:v>-1.9305615691547429E-2</c:v>
                </c:pt>
                <c:pt idx="11">
                  <c:v>3.4803921916637393E-4</c:v>
                </c:pt>
                <c:pt idx="12">
                  <c:v>3.4803921916637393E-4</c:v>
                </c:pt>
                <c:pt idx="13">
                  <c:v>3.4803921916637393E-4</c:v>
                </c:pt>
                <c:pt idx="14">
                  <c:v>7.2195556754719448E-3</c:v>
                </c:pt>
                <c:pt idx="15">
                  <c:v>7.2195556754719448E-3</c:v>
                </c:pt>
                <c:pt idx="16">
                  <c:v>7.2195556754719448E-3</c:v>
                </c:pt>
                <c:pt idx="17">
                  <c:v>-5.1410981719212101E-3</c:v>
                </c:pt>
                <c:pt idx="18">
                  <c:v>9.3845845239480807E-3</c:v>
                </c:pt>
                <c:pt idx="19">
                  <c:v>5.1661352458140519E-2</c:v>
                </c:pt>
                <c:pt idx="20">
                  <c:v>-4.4546983375776117E-3</c:v>
                </c:pt>
                <c:pt idx="21">
                  <c:v>-1.5672699817096181E-2</c:v>
                </c:pt>
                <c:pt idx="22">
                  <c:v>-4.0750869513862531E-2</c:v>
                </c:pt>
                <c:pt idx="23">
                  <c:v>-1.3885115197931341E-3</c:v>
                </c:pt>
                <c:pt idx="24">
                  <c:v>-1.9179113079527133E-3</c:v>
                </c:pt>
                <c:pt idx="25">
                  <c:v>-4.6116987670540288E-3</c:v>
                </c:pt>
                <c:pt idx="26">
                  <c:v>-4.6116987670540288E-3</c:v>
                </c:pt>
                <c:pt idx="27">
                  <c:v>-1.9179113079527133E-3</c:v>
                </c:pt>
              </c:numCache>
            </c:numRef>
          </c:xVal>
          <c:yVal>
            <c:numRef>
              <c:f>'16.7-1,2,3'!$AJ$3:$AJ$30</c:f>
              <c:numCache>
                <c:formatCode>0.0</c:formatCode>
                <c:ptCount val="28"/>
                <c:pt idx="0">
                  <c:v>50.411568934758229</c:v>
                </c:pt>
                <c:pt idx="1">
                  <c:v>57.214480953216373</c:v>
                </c:pt>
                <c:pt idx="2">
                  <c:v>45.121411133410234</c:v>
                </c:pt>
                <c:pt idx="3">
                  <c:v>43.790537175127959</c:v>
                </c:pt>
                <c:pt idx="4">
                  <c:v>48.462131798775843</c:v>
                </c:pt>
                <c:pt idx="5">
                  <c:v>49.5087572073381</c:v>
                </c:pt>
                <c:pt idx="6">
                  <c:v>48.828119740672804</c:v>
                </c:pt>
                <c:pt idx="7">
                  <c:v>48.608757207338101</c:v>
                </c:pt>
                <c:pt idx="8">
                  <c:v>49.237533488026202</c:v>
                </c:pt>
                <c:pt idx="9">
                  <c:v>50.711834574652691</c:v>
                </c:pt>
                <c:pt idx="10">
                  <c:v>54.679630773066421</c:v>
                </c:pt>
                <c:pt idx="11">
                  <c:v>49.927973903567725</c:v>
                </c:pt>
                <c:pt idx="12">
                  <c:v>51.027973903567727</c:v>
                </c:pt>
                <c:pt idx="13">
                  <c:v>52.127973903567721</c:v>
                </c:pt>
                <c:pt idx="14">
                  <c:v>51.41897299981818</c:v>
                </c:pt>
                <c:pt idx="15">
                  <c:v>51.41897299981818</c:v>
                </c:pt>
                <c:pt idx="16">
                  <c:v>52.41897299981818</c:v>
                </c:pt>
                <c:pt idx="17">
                  <c:v>50.685583039779857</c:v>
                </c:pt>
                <c:pt idx="18">
                  <c:v>40.020444906664082</c:v>
                </c:pt>
                <c:pt idx="19">
                  <c:v>61.569074278345632</c:v>
                </c:pt>
                <c:pt idx="20">
                  <c:v>42.084957419806592</c:v>
                </c:pt>
                <c:pt idx="21">
                  <c:v>47.709642030771278</c:v>
                </c:pt>
                <c:pt idx="22">
                  <c:v>60.056497038009972</c:v>
                </c:pt>
                <c:pt idx="23">
                  <c:v>53.863686838030866</c:v>
                </c:pt>
                <c:pt idx="24">
                  <c:v>49.62587393083971</c:v>
                </c:pt>
                <c:pt idx="25">
                  <c:v>45.821381445185828</c:v>
                </c:pt>
                <c:pt idx="26">
                  <c:v>41.321381445185828</c:v>
                </c:pt>
                <c:pt idx="27">
                  <c:v>44.12587393083971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2-4146-8760-94F90ADCA9A9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'16.7-1,2,3'!$B$37:$B$38</c:f>
              <c:numCache>
                <c:formatCode>0.000</c:formatCode>
                <c:ptCount val="2"/>
                <c:pt idx="0">
                  <c:v>-4.0750869513862531E-2</c:v>
                </c:pt>
                <c:pt idx="1">
                  <c:v>5.1661352458140519E-2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2-4146-8760-94F90ADCA9A9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'16.7-1,2,3'!$B$37:$B$38</c:f>
              <c:numCache>
                <c:formatCode>0.000</c:formatCode>
                <c:ptCount val="2"/>
                <c:pt idx="0">
                  <c:v>-4.0750869513862531E-2</c:v>
                </c:pt>
                <c:pt idx="1">
                  <c:v>5.1661352458140519E-2</c:v>
                </c:pt>
              </c:numCache>
            </c:numRef>
          </c:xVal>
          <c:yVal>
            <c:numRef>
              <c:f>'16.7-1,2,3'!$G$37:$G$38</c:f>
              <c:numCache>
                <c:formatCode>General</c:formatCode>
                <c:ptCount val="2"/>
                <c:pt idx="0">
                  <c:v>47.176270691620431</c:v>
                </c:pt>
                <c:pt idx="1">
                  <c:v>52.915621118571686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2-4146-8760-94F90ADCA9A9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'16.7-1,2,3'!$B$63:$B$83</c:f>
              <c:numCache>
                <c:formatCode>0.00</c:formatCode>
                <c:ptCount val="21"/>
                <c:pt idx="0">
                  <c:v>40.02655386927804</c:v>
                </c:pt>
                <c:pt idx="1">
                  <c:v>41.017895049987601</c:v>
                </c:pt>
                <c:pt idx="2">
                  <c:v>41.995425497466542</c:v>
                </c:pt>
                <c:pt idx="3">
                  <c:v>42.953513953818103</c:v>
                </c:pt>
                <c:pt idx="4">
                  <c:v>43.883337082069829</c:v>
                </c:pt>
                <c:pt idx="5">
                  <c:v>44.770674435664759</c:v>
                </c:pt>
                <c:pt idx="6">
                  <c:v>45.592296594257924</c:v>
                </c:pt>
                <c:pt idx="7">
                  <c:v>46.311288035179132</c:v>
                </c:pt>
                <c:pt idx="8">
                  <c:v>46.875896060310033</c:v>
                </c:pt>
                <c:pt idx="9">
                  <c:v>47.234655937984463</c:v>
                </c:pt>
                <c:pt idx="10">
                  <c:v>47.370942205715764</c:v>
                </c:pt>
                <c:pt idx="11">
                  <c:v>47.31792835016779</c:v>
                </c:pt>
                <c:pt idx="12">
                  <c:v>47.130515036111639</c:v>
                </c:pt>
                <c:pt idx="13">
                  <c:v>46.855643320300437</c:v>
                </c:pt>
                <c:pt idx="14">
                  <c:v>46.524779570911669</c:v>
                </c:pt>
                <c:pt idx="15">
                  <c:v>46.157383446686389</c:v>
                </c:pt>
                <c:pt idx="16">
                  <c:v>45.765391109212558</c:v>
                </c:pt>
                <c:pt idx="17">
                  <c:v>45.356277668988497</c:v>
                </c:pt>
                <c:pt idx="18">
                  <c:v>44.93486859640192</c:v>
                </c:pt>
                <c:pt idx="19">
                  <c:v>44.504379519598537</c:v>
                </c:pt>
                <c:pt idx="20">
                  <c:v>44.067018819933523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2-4146-8760-94F90ADCA9A9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'16.7-1,2,3'!$G$63:$G$83</c:f>
              <c:numCache>
                <c:formatCode>0.00</c:formatCode>
                <c:ptCount val="21"/>
                <c:pt idx="0">
                  <c:v>54.325987513962822</c:v>
                </c:pt>
                <c:pt idx="1">
                  <c:v>53.908581375948387</c:v>
                </c:pt>
                <c:pt idx="2">
                  <c:v>53.504985971164572</c:v>
                </c:pt>
                <c:pt idx="3">
                  <c:v>53.120832557508137</c:v>
                </c:pt>
                <c:pt idx="4">
                  <c:v>52.764944471951537</c:v>
                </c:pt>
                <c:pt idx="5">
                  <c:v>52.451542161051734</c:v>
                </c:pt>
                <c:pt idx="6">
                  <c:v>52.203855045153695</c:v>
                </c:pt>
                <c:pt idx="7">
                  <c:v>52.058798646927613</c:v>
                </c:pt>
                <c:pt idx="8">
                  <c:v>52.068125664491824</c:v>
                </c:pt>
                <c:pt idx="9">
                  <c:v>52.28330082951252</c:v>
                </c:pt>
                <c:pt idx="10">
                  <c:v>52.720949604476345</c:v>
                </c:pt>
                <c:pt idx="11">
                  <c:v>53.347898502719445</c:v>
                </c:pt>
                <c:pt idx="12">
                  <c:v>54.109246859470723</c:v>
                </c:pt>
                <c:pt idx="13">
                  <c:v>54.95805361797705</c:v>
                </c:pt>
                <c:pt idx="14">
                  <c:v>55.862852410060945</c:v>
                </c:pt>
                <c:pt idx="15">
                  <c:v>56.804183576981352</c:v>
                </c:pt>
                <c:pt idx="16">
                  <c:v>57.770110957150308</c:v>
                </c:pt>
                <c:pt idx="17">
                  <c:v>58.753159440069496</c:v>
                </c:pt>
                <c:pt idx="18">
                  <c:v>59.748503555351199</c:v>
                </c:pt>
                <c:pt idx="19">
                  <c:v>60.752927674849708</c:v>
                </c:pt>
                <c:pt idx="20">
                  <c:v>61.764223417209848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72-4146-8760-94F90ADCA9A9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'16.7-1,2,3'!$L$63:$L$83</c:f>
              <c:numCache>
                <c:formatCode>0.00</c:formatCode>
                <c:ptCount val="21"/>
                <c:pt idx="0">
                  <c:v>32.04305000493563</c:v>
                </c:pt>
                <c:pt idx="1">
                  <c:v>32.649786008947586</c:v>
                </c:pt>
                <c:pt idx="2">
                  <c:v>33.223904990951922</c:v>
                </c:pt>
                <c:pt idx="3">
                  <c:v>33.763438299126534</c:v>
                </c:pt>
                <c:pt idx="4">
                  <c:v>34.266521662479967</c:v>
                </c:pt>
                <c:pt idx="5">
                  <c:v>34.731452324021497</c:v>
                </c:pt>
                <c:pt idx="6">
                  <c:v>35.156747863513885</c:v>
                </c:pt>
                <c:pt idx="7">
                  <c:v>35.541202706163965</c:v>
                </c:pt>
                <c:pt idx="8">
                  <c:v>35.883937791584209</c:v>
                </c:pt>
                <c:pt idx="9">
                  <c:v>36.184438924805249</c:v>
                </c:pt>
                <c:pt idx="10">
                  <c:v>36.442580053075559</c:v>
                </c:pt>
                <c:pt idx="11">
                  <c:v>36.658629067751022</c:v>
                </c:pt>
                <c:pt idx="12">
                  <c:v>36.833235519050717</c:v>
                </c:pt>
                <c:pt idx="13">
                  <c:v>36.967401533546465</c:v>
                </c:pt>
                <c:pt idx="14">
                  <c:v>37.062438888464953</c:v>
                </c:pt>
                <c:pt idx="15">
                  <c:v>37.119916338649958</c:v>
                </c:pt>
                <c:pt idx="16">
                  <c:v>37.141601766573814</c:v>
                </c:pt>
                <c:pt idx="17">
                  <c:v>37.129403549166476</c:v>
                </c:pt>
                <c:pt idx="18">
                  <c:v>37.085314853122767</c:v>
                </c:pt>
                <c:pt idx="19">
                  <c:v>37.01136359541529</c:v>
                </c:pt>
                <c:pt idx="20">
                  <c:v>36.909569751926519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72-4146-8760-94F90ADCA9A9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'16.7-1,2,3'!$Q$63:$Q$83</c:f>
              <c:numCache>
                <c:formatCode>0.00</c:formatCode>
                <c:ptCount val="21"/>
                <c:pt idx="0">
                  <c:v>62.309491378305232</c:v>
                </c:pt>
                <c:pt idx="1">
                  <c:v>62.276690416988401</c:v>
                </c:pt>
                <c:pt idx="2">
                  <c:v>62.276506477679192</c:v>
                </c:pt>
                <c:pt idx="3">
                  <c:v>62.310908212199706</c:v>
                </c:pt>
                <c:pt idx="4">
                  <c:v>62.3817598915414</c:v>
                </c:pt>
                <c:pt idx="5">
                  <c:v>62.490764272694996</c:v>
                </c:pt>
                <c:pt idx="6">
                  <c:v>62.639403775897733</c:v>
                </c:pt>
                <c:pt idx="7">
                  <c:v>62.82888397594278</c:v>
                </c:pt>
                <c:pt idx="8">
                  <c:v>63.060083933217648</c:v>
                </c:pt>
                <c:pt idx="9">
                  <c:v>63.333517842691734</c:v>
                </c:pt>
                <c:pt idx="10">
                  <c:v>63.64931175711655</c:v>
                </c:pt>
                <c:pt idx="11">
                  <c:v>64.007197785136213</c:v>
                </c:pt>
                <c:pt idx="12">
                  <c:v>64.406526376531644</c:v>
                </c:pt>
                <c:pt idx="13">
                  <c:v>64.846295404731023</c:v>
                </c:pt>
                <c:pt idx="14">
                  <c:v>65.325193092507661</c:v>
                </c:pt>
                <c:pt idx="15">
                  <c:v>65.841650685017783</c:v>
                </c:pt>
                <c:pt idx="16">
                  <c:v>66.393900299789053</c:v>
                </c:pt>
                <c:pt idx="17">
                  <c:v>66.98003355989151</c:v>
                </c:pt>
                <c:pt idx="18">
                  <c:v>67.598057298630351</c:v>
                </c:pt>
                <c:pt idx="19">
                  <c:v>68.245943599032955</c:v>
                </c:pt>
                <c:pt idx="20">
                  <c:v>68.921672485216845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72-4146-8760-94F90ADCA9A9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'[2]Fig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2-4146-8760-94F90ADC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0.06"/>
          <c:min val="-0.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02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0.0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Oxygen, </a:t>
            </a:r>
            <a:r>
              <a:rPr lang="en-US" i="1"/>
              <a:t>p</a:t>
            </a:r>
            <a:r>
              <a:rPr lang="en-US"/>
              <a:t> = 0.3341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'16.7-1,2,3'!$AF$3:$AF$30</c:f>
              <c:numCache>
                <c:formatCode>0.000</c:formatCode>
                <c:ptCount val="28"/>
                <c:pt idx="0">
                  <c:v>2.3669231987208494E-2</c:v>
                </c:pt>
                <c:pt idx="1">
                  <c:v>0.17056749802962679</c:v>
                </c:pt>
                <c:pt idx="2">
                  <c:v>0.75752884656627317</c:v>
                </c:pt>
                <c:pt idx="3">
                  <c:v>0.95484538751176173</c:v>
                </c:pt>
                <c:pt idx="4">
                  <c:v>-0.21147836221145211</c:v>
                </c:pt>
                <c:pt idx="5">
                  <c:v>-0.36039602518050828</c:v>
                </c:pt>
                <c:pt idx="6">
                  <c:v>-0.58437621348578395</c:v>
                </c:pt>
                <c:pt idx="7">
                  <c:v>-0.36039602518050828</c:v>
                </c:pt>
                <c:pt idx="8">
                  <c:v>-0.47120636760151191</c:v>
                </c:pt>
                <c:pt idx="9">
                  <c:v>-1.8268352509815511E-2</c:v>
                </c:pt>
                <c:pt idx="10">
                  <c:v>9.951038207293772E-2</c:v>
                </c:pt>
                <c:pt idx="11">
                  <c:v>0.11073210862457314</c:v>
                </c:pt>
                <c:pt idx="12">
                  <c:v>0.11073210862457314</c:v>
                </c:pt>
                <c:pt idx="13">
                  <c:v>0.11073210862457314</c:v>
                </c:pt>
                <c:pt idx="14">
                  <c:v>-0.11489362974850292</c:v>
                </c:pt>
                <c:pt idx="15">
                  <c:v>-0.11489362974850292</c:v>
                </c:pt>
                <c:pt idx="16">
                  <c:v>-0.11489362974850292</c:v>
                </c:pt>
                <c:pt idx="17">
                  <c:v>0.28034000097978162</c:v>
                </c:pt>
                <c:pt idx="18">
                  <c:v>0.11838289095541155</c:v>
                </c:pt>
                <c:pt idx="19">
                  <c:v>-0.82566030763856657</c:v>
                </c:pt>
                <c:pt idx="20">
                  <c:v>0.13513120342452778</c:v>
                </c:pt>
                <c:pt idx="21">
                  <c:v>0.3042907756459825</c:v>
                </c:pt>
                <c:pt idx="22">
                  <c:v>0.86595757076683499</c:v>
                </c:pt>
                <c:pt idx="23">
                  <c:v>-0.22851461472126458</c:v>
                </c:pt>
                <c:pt idx="24">
                  <c:v>-0.20845780714130008</c:v>
                </c:pt>
                <c:pt idx="25">
                  <c:v>-0.11026367087828451</c:v>
                </c:pt>
                <c:pt idx="26">
                  <c:v>-0.11026367087828451</c:v>
                </c:pt>
                <c:pt idx="27">
                  <c:v>-0.20845780714130008</c:v>
                </c:pt>
              </c:numCache>
            </c:numRef>
          </c:xVal>
          <c:yVal>
            <c:numRef>
              <c:f>'16.7-1,2,3'!$AK$3:$AK$30</c:f>
              <c:numCache>
                <c:formatCode>0.0</c:formatCode>
                <c:ptCount val="28"/>
                <c:pt idx="0">
                  <c:v>49.471655139100896</c:v>
                </c:pt>
                <c:pt idx="1">
                  <c:v>57.035161113822689</c:v>
                </c:pt>
                <c:pt idx="2">
                  <c:v>47.83337502265293</c:v>
                </c:pt>
                <c:pt idx="3">
                  <c:v>47.717981435564958</c:v>
                </c:pt>
                <c:pt idx="4">
                  <c:v>47.494807675963834</c:v>
                </c:pt>
                <c:pt idx="5">
                  <c:v>48.300979523320578</c:v>
                </c:pt>
                <c:pt idx="6">
                  <c:v>46.584889817820958</c:v>
                </c:pt>
                <c:pt idx="7">
                  <c:v>47.400979523320579</c:v>
                </c:pt>
                <c:pt idx="8">
                  <c:v>47.60756796430735</c:v>
                </c:pt>
                <c:pt idx="9">
                  <c:v>51.188810004275197</c:v>
                </c:pt>
                <c:pt idx="10">
                  <c:v>56.142364208416225</c:v>
                </c:pt>
                <c:pt idx="11">
                  <c:v>50.199839838070588</c:v>
                </c:pt>
                <c:pt idx="12">
                  <c:v>51.299839838070596</c:v>
                </c:pt>
                <c:pt idx="13">
                  <c:v>52.399839838070591</c:v>
                </c:pt>
                <c:pt idx="14">
                  <c:v>50.666084687171377</c:v>
                </c:pt>
                <c:pt idx="15">
                  <c:v>50.666084687171377</c:v>
                </c:pt>
                <c:pt idx="16">
                  <c:v>51.666084687171377</c:v>
                </c:pt>
                <c:pt idx="17">
                  <c:v>51.747881118838734</c:v>
                </c:pt>
                <c:pt idx="18">
                  <c:v>39.751364871799119</c:v>
                </c:pt>
                <c:pt idx="19">
                  <c:v>56.172289304814548</c:v>
                </c:pt>
                <c:pt idx="20">
                  <c:v>42.719768685825393</c:v>
                </c:pt>
                <c:pt idx="21">
                  <c:v>49.489493871539992</c:v>
                </c:pt>
                <c:pt idx="22">
                  <c:v>64.88247864136062</c:v>
                </c:pt>
                <c:pt idx="23">
                  <c:v>53.344273021349004</c:v>
                </c:pt>
                <c:pt idx="24">
                  <c:v>49.192496995214505</c:v>
                </c:pt>
                <c:pt idx="25">
                  <c:v>45.815555744875873</c:v>
                </c:pt>
                <c:pt idx="26">
                  <c:v>41.315555744875873</c:v>
                </c:pt>
                <c:pt idx="27">
                  <c:v>43.692496995214505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C-4A00-B8AE-761BF7AA1001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'16.7-1,2,3'!$C$37:$C$38</c:f>
              <c:numCache>
                <c:formatCode>0.000</c:formatCode>
                <c:ptCount val="2"/>
                <c:pt idx="0">
                  <c:v>-0.82566030763856657</c:v>
                </c:pt>
                <c:pt idx="1">
                  <c:v>0.95484538751176173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C-4A00-B8AE-761BF7AA1001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'16.7-1,2,3'!$C$37:$C$38</c:f>
              <c:numCache>
                <c:formatCode>0.000</c:formatCode>
                <c:ptCount val="2"/>
                <c:pt idx="0">
                  <c:v>-0.82566030763856657</c:v>
                </c:pt>
                <c:pt idx="1">
                  <c:v>0.95484538751176173</c:v>
                </c:pt>
              </c:numCache>
            </c:numRef>
          </c:xVal>
          <c:yVal>
            <c:numRef>
              <c:f>'16.7-1,2,3'!$H$37:$H$38</c:f>
              <c:numCache>
                <c:formatCode>General</c:formatCode>
                <c:ptCount val="2"/>
                <c:pt idx="0">
                  <c:v>47.518836145048695</c:v>
                </c:pt>
                <c:pt idx="1">
                  <c:v>52.237838048825502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C-4A00-B8AE-761BF7AA1001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'16.7-1,2,3'!$C$63:$C$83</c:f>
              <c:numCache>
                <c:formatCode>0.00</c:formatCode>
                <c:ptCount val="21"/>
                <c:pt idx="0">
                  <c:v>41.622593437853617</c:v>
                </c:pt>
                <c:pt idx="1">
                  <c:v>42.372500698156529</c:v>
                </c:pt>
                <c:pt idx="2">
                  <c:v>43.108836170078625</c:v>
                </c:pt>
                <c:pt idx="3">
                  <c:v>43.826966807055598</c:v>
                </c:pt>
                <c:pt idx="4">
                  <c:v>44.520207289782981</c:v>
                </c:pt>
                <c:pt idx="5">
                  <c:v>45.178842913033897</c:v>
                </c:pt>
                <c:pt idx="6">
                  <c:v>45.788892866031951</c:v>
                </c:pt>
                <c:pt idx="7">
                  <c:v>46.331087813723641</c:v>
                </c:pt>
                <c:pt idx="8">
                  <c:v>46.781569276129893</c:v>
                </c:pt>
                <c:pt idx="9">
                  <c:v>47.116856273307199</c:v>
                </c:pt>
                <c:pt idx="10">
                  <c:v>47.32347647120654</c:v>
                </c:pt>
                <c:pt idx="11">
                  <c:v>47.405606305217759</c:v>
                </c:pt>
                <c:pt idx="12">
                  <c:v>47.382540629824319</c:v>
                </c:pt>
                <c:pt idx="13">
                  <c:v>47.278903492626092</c:v>
                </c:pt>
                <c:pt idx="14">
                  <c:v>47.116781627144249</c:v>
                </c:pt>
                <c:pt idx="15">
                  <c:v>46.912990565123188</c:v>
                </c:pt>
                <c:pt idx="16">
                  <c:v>46.679427348460941</c:v>
                </c:pt>
                <c:pt idx="17">
                  <c:v>46.424298821152618</c:v>
                </c:pt>
                <c:pt idx="18">
                  <c:v>46.153262674648595</c:v>
                </c:pt>
                <c:pt idx="19">
                  <c:v>45.870263549148959</c:v>
                </c:pt>
                <c:pt idx="20">
                  <c:v>45.578097443504021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1C-4A00-B8AE-761BF7AA1001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'16.7-1,2,3'!$H$63:$H$83</c:f>
              <c:numCache>
                <c:formatCode>0.00</c:formatCode>
                <c:ptCount val="21"/>
                <c:pt idx="0">
                  <c:v>53.415078852243774</c:v>
                </c:pt>
                <c:pt idx="1">
                  <c:v>53.137071782318543</c:v>
                </c:pt>
                <c:pt idx="2">
                  <c:v>52.872636500774128</c:v>
                </c:pt>
                <c:pt idx="3">
                  <c:v>52.626406054174836</c:v>
                </c:pt>
                <c:pt idx="4">
                  <c:v>52.405065761825135</c:v>
                </c:pt>
                <c:pt idx="5">
                  <c:v>52.2183303289519</c:v>
                </c:pt>
                <c:pt idx="6">
                  <c:v>52.080180566331528</c:v>
                </c:pt>
                <c:pt idx="7">
                  <c:v>52.009885809017518</c:v>
                </c:pt>
                <c:pt idx="8">
                  <c:v>52.031304536988948</c:v>
                </c:pt>
                <c:pt idx="9">
                  <c:v>52.167917730189323</c:v>
                </c:pt>
                <c:pt idx="10">
                  <c:v>52.433197722667664</c:v>
                </c:pt>
                <c:pt idx="11">
                  <c:v>52.822968079034126</c:v>
                </c:pt>
                <c:pt idx="12">
                  <c:v>53.317933944805247</c:v>
                </c:pt>
                <c:pt idx="13">
                  <c:v>53.893471272381156</c:v>
                </c:pt>
                <c:pt idx="14">
                  <c:v>54.527493328240666</c:v>
                </c:pt>
                <c:pt idx="15">
                  <c:v>55.203184580639409</c:v>
                </c:pt>
                <c:pt idx="16">
                  <c:v>55.908647987679338</c:v>
                </c:pt>
                <c:pt idx="17">
                  <c:v>56.635676705365341</c:v>
                </c:pt>
                <c:pt idx="18">
                  <c:v>57.378613042247046</c:v>
                </c:pt>
                <c:pt idx="19">
                  <c:v>58.133512358124364</c:v>
                </c:pt>
                <c:pt idx="20">
                  <c:v>58.897578654146983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1C-4A00-B8AE-761BF7AA1001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'16.7-1,2,3'!$M$63:$M$83</c:f>
              <c:numCache>
                <c:formatCode>0.00</c:formatCode>
                <c:ptCount val="21"/>
                <c:pt idx="0">
                  <c:v>32.935914771936581</c:v>
                </c:pt>
                <c:pt idx="1">
                  <c:v>33.371986951896162</c:v>
                </c:pt>
                <c:pt idx="2">
                  <c:v>33.787607562629816</c:v>
                </c:pt>
                <c:pt idx="3">
                  <c:v>34.181991685689127</c:v>
                </c:pt>
                <c:pt idx="4">
                  <c:v>34.554413562633933</c:v>
                </c:pt>
                <c:pt idx="5">
                  <c:v>34.90422134085275</c:v>
                </c:pt>
                <c:pt idx="6">
                  <c:v>35.230851337999553</c:v>
                </c:pt>
                <c:pt idx="7">
                  <c:v>35.533841168835998</c:v>
                </c:pt>
                <c:pt idx="8">
                  <c:v>35.812841069199251</c:v>
                </c:pt>
                <c:pt idx="9">
                  <c:v>36.067622798546829</c:v>
                </c:pt>
                <c:pt idx="10">
                  <c:v>36.298085607029876</c:v>
                </c:pt>
                <c:pt idx="11">
                  <c:v>36.504258909300049</c:v>
                </c:pt>
                <c:pt idx="12">
                  <c:v>36.686301501345241</c:v>
                </c:pt>
                <c:pt idx="13">
                  <c:v>36.844497368518361</c:v>
                </c:pt>
                <c:pt idx="14">
                  <c:v>36.979248339531637</c:v>
                </c:pt>
                <c:pt idx="15">
                  <c:v>37.091064020386504</c:v>
                </c:pt>
                <c:pt idx="16">
                  <c:v>37.180549576387676</c:v>
                </c:pt>
                <c:pt idx="17">
                  <c:v>37.24839200908059</c:v>
                </c:pt>
                <c:pt idx="18">
                  <c:v>37.295345595825857</c:v>
                </c:pt>
                <c:pt idx="19">
                  <c:v>37.322217127970021</c:v>
                </c:pt>
                <c:pt idx="20">
                  <c:v>37.329851509980401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1C-4A00-B8AE-761BF7AA1001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'16.7-1,2,3'!$R$63:$R$83</c:f>
              <c:numCache>
                <c:formatCode>0.00</c:formatCode>
                <c:ptCount val="21"/>
                <c:pt idx="0">
                  <c:v>62.101757518160809</c:v>
                </c:pt>
                <c:pt idx="1">
                  <c:v>62.13758552857891</c:v>
                </c:pt>
                <c:pt idx="2">
                  <c:v>62.193865108222937</c:v>
                </c:pt>
                <c:pt idx="3">
                  <c:v>62.271381175541308</c:v>
                </c:pt>
                <c:pt idx="4">
                  <c:v>62.370859488974183</c:v>
                </c:pt>
                <c:pt idx="5">
                  <c:v>62.492951901133047</c:v>
                </c:pt>
                <c:pt idx="6">
                  <c:v>62.638222094363925</c:v>
                </c:pt>
                <c:pt idx="7">
                  <c:v>62.807132453905162</c:v>
                </c:pt>
                <c:pt idx="8">
                  <c:v>63.00003274391959</c:v>
                </c:pt>
                <c:pt idx="9">
                  <c:v>63.217151204949694</c:v>
                </c:pt>
                <c:pt idx="10">
                  <c:v>63.458588586844328</c:v>
                </c:pt>
                <c:pt idx="11">
                  <c:v>63.724315474951837</c:v>
                </c:pt>
                <c:pt idx="12">
                  <c:v>64.014173073284326</c:v>
                </c:pt>
                <c:pt idx="13">
                  <c:v>64.327877396488887</c:v>
                </c:pt>
                <c:pt idx="14">
                  <c:v>64.665026615853279</c:v>
                </c:pt>
                <c:pt idx="15">
                  <c:v>65.0251111253761</c:v>
                </c:pt>
                <c:pt idx="16">
                  <c:v>65.407525759752602</c:v>
                </c:pt>
                <c:pt idx="17">
                  <c:v>65.81158351743737</c:v>
                </c:pt>
                <c:pt idx="18">
                  <c:v>66.236530121069791</c:v>
                </c:pt>
                <c:pt idx="19">
                  <c:v>66.681558779303302</c:v>
                </c:pt>
                <c:pt idx="20">
                  <c:v>67.145824587670603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1C-4A00-B8AE-761BF7AA1001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'[2]Fig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1C-4A00-B8AE-761BF7AA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FGR, </a:t>
            </a:r>
            <a:r>
              <a:rPr lang="en-US" i="1"/>
              <a:t>p</a:t>
            </a:r>
            <a:r>
              <a:rPr lang="en-US"/>
              <a:t> &lt; 0.0001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'16.7-1,2,3'!$AG$3:$AG$30</c:f>
              <c:numCache>
                <c:formatCode>0.000</c:formatCode>
                <c:ptCount val="28"/>
                <c:pt idx="0">
                  <c:v>-0.32685373319138067</c:v>
                </c:pt>
                <c:pt idx="1">
                  <c:v>-0.21377383572683395</c:v>
                </c:pt>
                <c:pt idx="2">
                  <c:v>0.23471828380942267</c:v>
                </c:pt>
                <c:pt idx="3">
                  <c:v>0.44352216571244241</c:v>
                </c:pt>
                <c:pt idx="4">
                  <c:v>-0.11504827777912285</c:v>
                </c:pt>
                <c:pt idx="5">
                  <c:v>-8.413738142793048E-2</c:v>
                </c:pt>
                <c:pt idx="6">
                  <c:v>-0.22021980523175866</c:v>
                </c:pt>
                <c:pt idx="7">
                  <c:v>-8.413738142793048E-2</c:v>
                </c:pt>
                <c:pt idx="8">
                  <c:v>-0.12721980523175858</c:v>
                </c:pt>
                <c:pt idx="9">
                  <c:v>0.15136957572732113</c:v>
                </c:pt>
                <c:pt idx="10">
                  <c:v>0.34178019476824129</c:v>
                </c:pt>
                <c:pt idx="11">
                  <c:v>0.11170876557182441</c:v>
                </c:pt>
                <c:pt idx="12">
                  <c:v>0.11170876557182441</c:v>
                </c:pt>
                <c:pt idx="13">
                  <c:v>0.11170876557182441</c:v>
                </c:pt>
                <c:pt idx="14">
                  <c:v>-1.8004399744316002E-2</c:v>
                </c:pt>
                <c:pt idx="15">
                  <c:v>-1.8004399744316002E-2</c:v>
                </c:pt>
                <c:pt idx="16">
                  <c:v>-1.8004399744316002E-2</c:v>
                </c:pt>
                <c:pt idx="17">
                  <c:v>0.21437852669853696</c:v>
                </c:pt>
                <c:pt idx="18">
                  <c:v>-5.8396018642939834E-2</c:v>
                </c:pt>
                <c:pt idx="19">
                  <c:v>-0.85087573863370436</c:v>
                </c:pt>
                <c:pt idx="20">
                  <c:v>0.11114278871278915</c:v>
                </c:pt>
                <c:pt idx="21">
                  <c:v>0.30263734437758094</c:v>
                </c:pt>
                <c:pt idx="22">
                  <c:v>0.57024937815485943</c:v>
                </c:pt>
                <c:pt idx="23">
                  <c:v>-0.14238657493931117</c:v>
                </c:pt>
                <c:pt idx="24">
                  <c:v>-0.13234593646927406</c:v>
                </c:pt>
                <c:pt idx="25">
                  <c:v>-8.1585465136245761E-2</c:v>
                </c:pt>
                <c:pt idx="26">
                  <c:v>-8.1585465136245761E-2</c:v>
                </c:pt>
                <c:pt idx="27">
                  <c:v>-0.13234593646927406</c:v>
                </c:pt>
              </c:numCache>
            </c:numRef>
          </c:xVal>
          <c:yVal>
            <c:numRef>
              <c:f>'16.7-1,2,3'!$AL$3:$AL$30</c:f>
              <c:numCache>
                <c:formatCode>0.0</c:formatCode>
                <c:ptCount val="28"/>
                <c:pt idx="0">
                  <c:v>58.275220469266365</c:v>
                </c:pt>
                <c:pt idx="1">
                  <c:v>62.381964264418379</c:v>
                </c:pt>
                <c:pt idx="2">
                  <c:v>39.458628436538625</c:v>
                </c:pt>
                <c:pt idx="3">
                  <c:v>33.15621818236815</c:v>
                </c:pt>
                <c:pt idx="4">
                  <c:v>51.176125779893248</c:v>
                </c:pt>
                <c:pt idx="5">
                  <c:v>51.538489832826329</c:v>
                </c:pt>
                <c:pt idx="6">
                  <c:v>54.107429031202756</c:v>
                </c:pt>
                <c:pt idx="7">
                  <c:v>50.63848983282633</c:v>
                </c:pt>
                <c:pt idx="8">
                  <c:v>52.307429031202744</c:v>
                </c:pt>
                <c:pt idx="9">
                  <c:v>47.131147536816968</c:v>
                </c:pt>
                <c:pt idx="10">
                  <c:v>46.607429031202749</c:v>
                </c:pt>
                <c:pt idx="11">
                  <c:v>46.876125007522276</c:v>
                </c:pt>
                <c:pt idx="12">
                  <c:v>47.976125007522285</c:v>
                </c:pt>
                <c:pt idx="13">
                  <c:v>49.076125007522279</c:v>
                </c:pt>
                <c:pt idx="14">
                  <c:v>51.458986342028645</c:v>
                </c:pt>
                <c:pt idx="15">
                  <c:v>51.458986342028645</c:v>
                </c:pt>
                <c:pt idx="16">
                  <c:v>52.458986342028645</c:v>
                </c:pt>
                <c:pt idx="17">
                  <c:v>45.189602529878314</c:v>
                </c:pt>
                <c:pt idx="18">
                  <c:v>41.021667905768339</c:v>
                </c:pt>
                <c:pt idx="19">
                  <c:v>81.44161589548429</c:v>
                </c:pt>
                <c:pt idx="20">
                  <c:v>39.346739982706517</c:v>
                </c:pt>
                <c:pt idx="21">
                  <c:v>40.473611066199368</c:v>
                </c:pt>
                <c:pt idx="22">
                  <c:v>47.118674263343927</c:v>
                </c:pt>
                <c:pt idx="23">
                  <c:v>57.812327463835835</c:v>
                </c:pt>
                <c:pt idx="24">
                  <c:v>53.335029141138016</c:v>
                </c:pt>
                <c:pt idx="25">
                  <c:v>48.320898566645944</c:v>
                </c:pt>
                <c:pt idx="26">
                  <c:v>43.820898566645944</c:v>
                </c:pt>
                <c:pt idx="27">
                  <c:v>47.835029141138016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0-43D8-B1DF-C62038230629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'16.7-1,2,3'!$D$37:$D$38</c:f>
              <c:numCache>
                <c:formatCode>0.000</c:formatCode>
                <c:ptCount val="2"/>
                <c:pt idx="0">
                  <c:v>-0.85087573863370436</c:v>
                </c:pt>
                <c:pt idx="1">
                  <c:v>0.57024937815485943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0-43D8-B1DF-C62038230629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'16.7-1,2,3'!$D$37:$D$38</c:f>
              <c:numCache>
                <c:formatCode>0.000</c:formatCode>
                <c:ptCount val="2"/>
                <c:pt idx="0">
                  <c:v>-0.85087573863370436</c:v>
                </c:pt>
                <c:pt idx="1">
                  <c:v>0.57024937815485943</c:v>
                </c:pt>
              </c:numCache>
            </c:numRef>
          </c:xVal>
          <c:yVal>
            <c:numRef>
              <c:f>'16.7-1,2,3'!$I$37:$I$38</c:f>
              <c:numCache>
                <c:formatCode>General</c:formatCode>
                <c:ptCount val="2"/>
                <c:pt idx="0">
                  <c:v>72.788162735712532</c:v>
                </c:pt>
                <c:pt idx="1">
                  <c:v>34.23844791695204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0-43D8-B1DF-C62038230629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'16.7-1,2,3'!$D$63:$D$83</c:f>
              <c:numCache>
                <c:formatCode>0.00</c:formatCode>
                <c:ptCount val="21"/>
                <c:pt idx="0">
                  <c:v>64.270551644390025</c:v>
                </c:pt>
                <c:pt idx="1">
                  <c:v>62.989508182685761</c:v>
                </c:pt>
                <c:pt idx="2">
                  <c:v>61.702410972797153</c:v>
                </c:pt>
                <c:pt idx="3">
                  <c:v>60.407497141239837</c:v>
                </c:pt>
                <c:pt idx="4">
                  <c:v>59.102283929109142</c:v>
                </c:pt>
                <c:pt idx="5">
                  <c:v>57.783188044371357</c:v>
                </c:pt>
                <c:pt idx="6">
                  <c:v>56.444903819596405</c:v>
                </c:pt>
                <c:pt idx="7">
                  <c:v>55.07937937427215</c:v>
                </c:pt>
                <c:pt idx="8">
                  <c:v>53.674162094914813</c:v>
                </c:pt>
                <c:pt idx="9">
                  <c:v>52.209945173162822</c:v>
                </c:pt>
                <c:pt idx="10">
                  <c:v>50.657866287084396</c:v>
                </c:pt>
                <c:pt idx="11">
                  <c:v>48.979676024279357</c:v>
                </c:pt>
                <c:pt idx="12">
                  <c:v>47.137674872220877</c:v>
                </c:pt>
                <c:pt idx="13">
                  <c:v>45.115748815466098</c:v>
                </c:pt>
                <c:pt idx="14">
                  <c:v>42.931594238702345</c:v>
                </c:pt>
                <c:pt idx="15">
                  <c:v>40.623393682845837</c:v>
                </c:pt>
                <c:pt idx="16">
                  <c:v>38.229046366425898</c:v>
                </c:pt>
                <c:pt idx="17">
                  <c:v>35.776887326006111</c:v>
                </c:pt>
                <c:pt idx="18">
                  <c:v>33.285807098525275</c:v>
                </c:pt>
                <c:pt idx="19">
                  <c:v>30.767983112041779</c:v>
                </c:pt>
                <c:pt idx="20">
                  <c:v>28.231294730981602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0-43D8-B1DF-C62038230629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'16.7-1,2,3'!$I$63:$I$83</c:f>
              <c:numCache>
                <c:formatCode>0.00</c:formatCode>
                <c:ptCount val="21"/>
                <c:pt idx="0">
                  <c:v>81.30577382703504</c:v>
                </c:pt>
                <c:pt idx="1">
                  <c:v>78.731845806863248</c:v>
                </c:pt>
                <c:pt idx="2">
                  <c:v>76.163971534875813</c:v>
                </c:pt>
                <c:pt idx="3">
                  <c:v>73.603913884557087</c:v>
                </c:pt>
                <c:pt idx="4">
                  <c:v>71.054155614811734</c:v>
                </c:pt>
                <c:pt idx="5">
                  <c:v>68.518280017673462</c:v>
                </c:pt>
                <c:pt idx="6">
                  <c:v>66.00159276057235</c:v>
                </c:pt>
                <c:pt idx="7">
                  <c:v>63.512145724020556</c:v>
                </c:pt>
                <c:pt idx="8">
                  <c:v>61.062391521501844</c:v>
                </c:pt>
                <c:pt idx="9">
                  <c:v>58.671636961377786</c:v>
                </c:pt>
                <c:pt idx="10">
                  <c:v>56.368744365580163</c:v>
                </c:pt>
                <c:pt idx="11">
                  <c:v>54.191963146509153</c:v>
                </c:pt>
                <c:pt idx="12">
                  <c:v>52.178992816691583</c:v>
                </c:pt>
                <c:pt idx="13">
                  <c:v>50.345947391570313</c:v>
                </c:pt>
                <c:pt idx="14">
                  <c:v>48.675130486458031</c:v>
                </c:pt>
                <c:pt idx="15">
                  <c:v>47.12835956043849</c:v>
                </c:pt>
                <c:pt idx="16">
                  <c:v>45.66773539498238</c:v>
                </c:pt>
                <c:pt idx="17">
                  <c:v>44.264922953526117</c:v>
                </c:pt>
                <c:pt idx="18">
                  <c:v>42.901031699130904</c:v>
                </c:pt>
                <c:pt idx="19">
                  <c:v>41.563884203738354</c:v>
                </c:pt>
                <c:pt idx="20">
                  <c:v>40.245601102922478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0-43D8-B1DF-C62038230629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'16.7-1,2,3'!$N$63:$N$83</c:f>
              <c:numCache>
                <c:formatCode>0.00</c:formatCode>
                <c:ptCount val="21"/>
                <c:pt idx="0">
                  <c:v>56.96268908039216</c:v>
                </c:pt>
                <c:pt idx="1">
                  <c:v>55.373546331523244</c:v>
                </c:pt>
                <c:pt idx="2">
                  <c:v>53.761503767439784</c:v>
                </c:pt>
                <c:pt idx="3">
                  <c:v>52.125105006600165</c:v>
                </c:pt>
                <c:pt idx="4">
                  <c:v>50.462894701675687</c:v>
                </c:pt>
                <c:pt idx="5">
                  <c:v>48.773444034954551</c:v>
                </c:pt>
                <c:pt idx="6">
                  <c:v>47.05537993980451</c:v>
                </c:pt>
                <c:pt idx="7">
                  <c:v>45.307417229217293</c:v>
                </c:pt>
                <c:pt idx="8">
                  <c:v>43.528392371292298</c:v>
                </c:pt>
                <c:pt idx="9">
                  <c:v>41.717297237210474</c:v>
                </c:pt>
                <c:pt idx="10">
                  <c:v>39.873310831499083</c:v>
                </c:pt>
                <c:pt idx="11">
                  <c:v>37.995826871144565</c:v>
                </c:pt>
                <c:pt idx="12">
                  <c:v>36.084475168069119</c:v>
                </c:pt>
                <c:pt idx="13">
                  <c:v>34.139135113663329</c:v>
                </c:pt>
                <c:pt idx="14">
                  <c:v>32.15994014271395</c:v>
                </c:pt>
                <c:pt idx="15">
                  <c:v>30.147272796803303</c:v>
                </c:pt>
                <c:pt idx="16">
                  <c:v>28.101750807093836</c:v>
                </c:pt>
                <c:pt idx="17">
                  <c:v>26.024205353183163</c:v>
                </c:pt>
                <c:pt idx="18">
                  <c:v>23.915653222795918</c:v>
                </c:pt>
                <c:pt idx="19">
                  <c:v>21.777264928377846</c:v>
                </c:pt>
                <c:pt idx="20">
                  <c:v>19.610330911953284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0-43D8-B1DF-C62038230629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'16.7-1,2,3'!$S$63:$S$83</c:f>
              <c:numCache>
                <c:formatCode>0.00</c:formatCode>
                <c:ptCount val="21"/>
                <c:pt idx="0">
                  <c:v>88.613636391032912</c:v>
                </c:pt>
                <c:pt idx="1">
                  <c:v>86.347807658025772</c:v>
                </c:pt>
                <c:pt idx="2">
                  <c:v>84.104878740233175</c:v>
                </c:pt>
                <c:pt idx="3">
                  <c:v>81.886306019196752</c:v>
                </c:pt>
                <c:pt idx="4">
                  <c:v>79.693544842245188</c:v>
                </c:pt>
                <c:pt idx="5">
                  <c:v>77.528024027090268</c:v>
                </c:pt>
                <c:pt idx="6">
                  <c:v>75.391116640364245</c:v>
                </c:pt>
                <c:pt idx="7">
                  <c:v>73.284107869075413</c:v>
                </c:pt>
                <c:pt idx="8">
                  <c:v>71.208161245124359</c:v>
                </c:pt>
                <c:pt idx="9">
                  <c:v>69.164284897330134</c:v>
                </c:pt>
                <c:pt idx="10">
                  <c:v>67.153299821165476</c:v>
                </c:pt>
                <c:pt idx="11">
                  <c:v>65.175812299643951</c:v>
                </c:pt>
                <c:pt idx="12">
                  <c:v>63.232192520843341</c:v>
                </c:pt>
                <c:pt idx="13">
                  <c:v>61.322561093373082</c:v>
                </c:pt>
                <c:pt idx="14">
                  <c:v>59.446784582446426</c:v>
                </c:pt>
                <c:pt idx="15">
                  <c:v>57.60448044648102</c:v>
                </c:pt>
                <c:pt idx="16">
                  <c:v>55.795030954314441</c:v>
                </c:pt>
                <c:pt idx="17">
                  <c:v>54.017604926349065</c:v>
                </c:pt>
                <c:pt idx="18">
                  <c:v>52.271185574860262</c:v>
                </c:pt>
                <c:pt idx="19">
                  <c:v>50.554602387402284</c:v>
                </c:pt>
                <c:pt idx="20">
                  <c:v>48.866564921950797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0-43D8-B1DF-C62038230629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'[2]Fig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0-43D8-B1DF-C6203823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0.60000000000000009"/>
          <c:min val="-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2"/>
      </c:valAx>
      <c:valAx>
        <c:axId val="1836212991"/>
        <c:scaling>
          <c:orientation val="minMax"/>
          <c:max val="8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22. O2 x O2, </a:t>
            </a:r>
            <a:r>
              <a:rPr lang="en-US" i="1"/>
              <a:t>p</a:t>
            </a:r>
            <a:r>
              <a:rPr lang="en-US"/>
              <a:t> &lt; 0.0001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'16.7-1,2,3'!$AI$3:$AI$30</c:f>
              <c:numCache>
                <c:formatCode>0.000</c:formatCode>
                <c:ptCount val="28"/>
                <c:pt idx="0">
                  <c:v>-0.54401329185803649</c:v>
                </c:pt>
                <c:pt idx="1">
                  <c:v>-0.49648094460739634</c:v>
                </c:pt>
                <c:pt idx="2">
                  <c:v>-0.97982023212507841</c:v>
                </c:pt>
                <c:pt idx="3">
                  <c:v>-0.74937818187674976</c:v>
                </c:pt>
                <c:pt idx="4">
                  <c:v>-0.18879041218248271</c:v>
                </c:pt>
                <c:pt idx="5">
                  <c:v>0.35873576895667414</c:v>
                </c:pt>
                <c:pt idx="6">
                  <c:v>0.39505317533723905</c:v>
                </c:pt>
                <c:pt idx="7">
                  <c:v>0.35873576895667414</c:v>
                </c:pt>
                <c:pt idx="8">
                  <c:v>0.48423181546874994</c:v>
                </c:pt>
                <c:pt idx="9">
                  <c:v>0.42776587736755928</c:v>
                </c:pt>
                <c:pt idx="10">
                  <c:v>0.9339606565620644</c:v>
                </c:pt>
                <c:pt idx="11">
                  <c:v>-0.18546216798157111</c:v>
                </c:pt>
                <c:pt idx="12">
                  <c:v>-0.18546216798157111</c:v>
                </c:pt>
                <c:pt idx="13">
                  <c:v>-0.18546216798157111</c:v>
                </c:pt>
                <c:pt idx="14">
                  <c:v>-0.16033742808307472</c:v>
                </c:pt>
                <c:pt idx="15">
                  <c:v>-0.16033742808307472</c:v>
                </c:pt>
                <c:pt idx="16">
                  <c:v>-0.16033742808307472</c:v>
                </c:pt>
                <c:pt idx="17">
                  <c:v>-0.17697468438422836</c:v>
                </c:pt>
                <c:pt idx="18">
                  <c:v>-0.60649833641986151</c:v>
                </c:pt>
                <c:pt idx="19">
                  <c:v>-1.181009116361436</c:v>
                </c:pt>
                <c:pt idx="20">
                  <c:v>1.2368349060862656</c:v>
                </c:pt>
                <c:pt idx="21">
                  <c:v>1.7650460192677371</c:v>
                </c:pt>
                <c:pt idx="22">
                  <c:v>0.4801351987060985</c:v>
                </c:pt>
                <c:pt idx="23">
                  <c:v>-8.16376977246146E-2</c:v>
                </c:pt>
                <c:pt idx="24">
                  <c:v>-8.814894167859133E-2</c:v>
                </c:pt>
                <c:pt idx="25">
                  <c:v>-0.11109980880902415</c:v>
                </c:pt>
                <c:pt idx="26">
                  <c:v>-0.11109980880902415</c:v>
                </c:pt>
                <c:pt idx="27">
                  <c:v>-8.814894167859133E-2</c:v>
                </c:pt>
              </c:numCache>
            </c:numRef>
          </c:xVal>
          <c:yVal>
            <c:numRef>
              <c:f>'16.7-1,2,3'!$AN$3:$AN$30</c:f>
              <c:numCache>
                <c:formatCode>0.0</c:formatCode>
                <c:ptCount val="28"/>
                <c:pt idx="0">
                  <c:v>54.086108565115971</c:v>
                </c:pt>
                <c:pt idx="1">
                  <c:v>60.851617432882911</c:v>
                </c:pt>
                <c:pt idx="2">
                  <c:v>54.249703028247822</c:v>
                </c:pt>
                <c:pt idx="3">
                  <c:v>51.630108432399034</c:v>
                </c:pt>
                <c:pt idx="4">
                  <c:v>49.678440411729945</c:v>
                </c:pt>
                <c:pt idx="5">
                  <c:v>46.171911461415121</c:v>
                </c:pt>
                <c:pt idx="6">
                  <c:v>44.737211509704899</c:v>
                </c:pt>
                <c:pt idx="7">
                  <c:v>45.271911461415122</c:v>
                </c:pt>
                <c:pt idx="8">
                  <c:v>44.69322899172397</c:v>
                </c:pt>
                <c:pt idx="9">
                  <c:v>47.559486098460965</c:v>
                </c:pt>
                <c:pt idx="10">
                  <c:v>47.848844035454547</c:v>
                </c:pt>
                <c:pt idx="11">
                  <c:v>51.500880289225833</c:v>
                </c:pt>
                <c:pt idx="12">
                  <c:v>52.600880289225827</c:v>
                </c:pt>
                <c:pt idx="13">
                  <c:v>53.700880289225829</c:v>
                </c:pt>
                <c:pt idx="14">
                  <c:v>52.349105807799489</c:v>
                </c:pt>
                <c:pt idx="15">
                  <c:v>52.349105807799489</c:v>
                </c:pt>
                <c:pt idx="16">
                  <c:v>53.349105807799489</c:v>
                </c:pt>
                <c:pt idx="17">
                  <c:v>52.526425981919772</c:v>
                </c:pt>
                <c:pt idx="18">
                  <c:v>44.652010675177856</c:v>
                </c:pt>
                <c:pt idx="19">
                  <c:v>68.514390087433824</c:v>
                </c:pt>
                <c:pt idx="20">
                  <c:v>31.727861247535962</c:v>
                </c:pt>
                <c:pt idx="21">
                  <c:v>33.507925145473735</c:v>
                </c:pt>
                <c:pt idx="22">
                  <c:v>58.459379109198572</c:v>
                </c:pt>
                <c:pt idx="23">
                  <c:v>54.651806508969834</c:v>
                </c:pt>
                <c:pt idx="24">
                  <c:v>50.50285328351945</c:v>
                </c:pt>
                <c:pt idx="25">
                  <c:v>47.062982478812565</c:v>
                </c:pt>
                <c:pt idx="26">
                  <c:v>42.562982478812565</c:v>
                </c:pt>
                <c:pt idx="27">
                  <c:v>45.00285328351945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D-4F07-A737-B9624BB40A57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'16.7-1,2,3'!$F$37:$F$38</c:f>
              <c:numCache>
                <c:formatCode>0.000</c:formatCode>
                <c:ptCount val="2"/>
                <c:pt idx="0">
                  <c:v>-1.181009116361436</c:v>
                </c:pt>
                <c:pt idx="1">
                  <c:v>1.7650460192677371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D-4F07-A737-B9624BB40A57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'16.7-1,2,3'!$F$37:$F$38</c:f>
              <c:numCache>
                <c:formatCode>0.000</c:formatCode>
                <c:ptCount val="2"/>
                <c:pt idx="0">
                  <c:v>-1.181009116361436</c:v>
                </c:pt>
                <c:pt idx="1">
                  <c:v>1.7650460192677371</c:v>
                </c:pt>
              </c:numCache>
            </c:numRef>
          </c:xVal>
          <c:yVal>
            <c:numRef>
              <c:f>'16.7-1,2,3'!$K$37:$K$38</c:f>
              <c:numCache>
                <c:formatCode>General</c:formatCode>
                <c:ptCount val="2"/>
                <c:pt idx="0">
                  <c:v>59.860936927670764</c:v>
                </c:pt>
                <c:pt idx="1">
                  <c:v>34.532057791021458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D-4F07-A737-B9624BB40A57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'16.7-1,2,3'!$F$63:$F$83</c:f>
              <c:numCache>
                <c:formatCode>0.00</c:formatCode>
                <c:ptCount val="21"/>
                <c:pt idx="0">
                  <c:v>54.425554306817965</c:v>
                </c:pt>
                <c:pt idx="1">
                  <c:v>53.68334731355732</c:v>
                </c:pt>
                <c:pt idx="2">
                  <c:v>52.921595354108533</c:v>
                </c:pt>
                <c:pt idx="3">
                  <c:v>52.132759068279668</c:v>
                </c:pt>
                <c:pt idx="4">
                  <c:v>51.305699464228375</c:v>
                </c:pt>
                <c:pt idx="5">
                  <c:v>50.424144874549725</c:v>
                </c:pt>
                <c:pt idx="6">
                  <c:v>49.465505374664204</c:v>
                </c:pt>
                <c:pt idx="7">
                  <c:v>48.402189668675852</c:v>
                </c:pt>
                <c:pt idx="8">
                  <c:v>47.208762947069658</c:v>
                </c:pt>
                <c:pt idx="9">
                  <c:v>45.874192119240874</c:v>
                </c:pt>
                <c:pt idx="10">
                  <c:v>44.408806082126141</c:v>
                </c:pt>
                <c:pt idx="11">
                  <c:v>42.837750431043624</c:v>
                </c:pt>
                <c:pt idx="12">
                  <c:v>41.188704060571013</c:v>
                </c:pt>
                <c:pt idx="13">
                  <c:v>39.484479459865021</c:v>
                </c:pt>
                <c:pt idx="14">
                  <c:v>37.741556321503886</c:v>
                </c:pt>
                <c:pt idx="15">
                  <c:v>35.971226861490827</c:v>
                </c:pt>
                <c:pt idx="16">
                  <c:v>34.181134061776149</c:v>
                </c:pt>
                <c:pt idx="17">
                  <c:v>32.376489356437062</c:v>
                </c:pt>
                <c:pt idx="18">
                  <c:v>30.560904195089741</c:v>
                </c:pt>
                <c:pt idx="19">
                  <c:v>28.736930461555062</c:v>
                </c:pt>
                <c:pt idx="20">
                  <c:v>26.906407860541041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BD-4F07-A737-B9624BB40A57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'16.7-1,2,3'!$K$63:$K$83</c:f>
              <c:numCache>
                <c:formatCode>0.00</c:formatCode>
                <c:ptCount val="21"/>
                <c:pt idx="0">
                  <c:v>65.296319548523556</c:v>
                </c:pt>
                <c:pt idx="1">
                  <c:v>63.505638628119286</c:v>
                </c:pt>
                <c:pt idx="2">
                  <c:v>61.734502673903137</c:v>
                </c:pt>
                <c:pt idx="3">
                  <c:v>59.990451046067065</c:v>
                </c:pt>
                <c:pt idx="4">
                  <c:v>58.284622736453436</c:v>
                </c:pt>
                <c:pt idx="5">
                  <c:v>56.63328941246715</c:v>
                </c:pt>
                <c:pt idx="6">
                  <c:v>55.059040998687735</c:v>
                </c:pt>
                <c:pt idx="7">
                  <c:v>53.589468791011164</c:v>
                </c:pt>
                <c:pt idx="8">
                  <c:v>52.250007598952422</c:v>
                </c:pt>
                <c:pt idx="9">
                  <c:v>51.05169051311627</c:v>
                </c:pt>
                <c:pt idx="10">
                  <c:v>49.984188636566081</c:v>
                </c:pt>
                <c:pt idx="11">
                  <c:v>49.022356373983662</c:v>
                </c:pt>
                <c:pt idx="12">
                  <c:v>48.138514830791337</c:v>
                </c:pt>
                <c:pt idx="13">
                  <c:v>47.309851517832406</c:v>
                </c:pt>
                <c:pt idx="14">
                  <c:v>46.519886742528605</c:v>
                </c:pt>
                <c:pt idx="15">
                  <c:v>45.757328288876742</c:v>
                </c:pt>
                <c:pt idx="16">
                  <c:v>45.014533174926484</c:v>
                </c:pt>
                <c:pt idx="17">
                  <c:v>44.286289966600648</c:v>
                </c:pt>
                <c:pt idx="18">
                  <c:v>43.568987214283034</c:v>
                </c:pt>
                <c:pt idx="19">
                  <c:v>42.860073034152776</c:v>
                </c:pt>
                <c:pt idx="20">
                  <c:v>42.157707721501879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BD-4F07-A737-B9624BB40A57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'16.7-1,2,3'!$P$63:$P$83</c:f>
              <c:numCache>
                <c:formatCode>0.00</c:formatCode>
                <c:ptCount val="21"/>
                <c:pt idx="0">
                  <c:v>45.458183651047307</c:v>
                </c:pt>
                <c:pt idx="1">
                  <c:v>44.381285402549963</c:v>
                </c:pt>
                <c:pt idx="2">
                  <c:v>43.28124327145207</c:v>
                </c:pt>
                <c:pt idx="3">
                  <c:v>42.157226303821417</c:v>
                </c:pt>
                <c:pt idx="4">
                  <c:v>41.008491443671815</c:v>
                </c:pt>
                <c:pt idx="5">
                  <c:v>39.834401290374096</c:v>
                </c:pt>
                <c:pt idx="6">
                  <c:v>38.634440346986302</c:v>
                </c:pt>
                <c:pt idx="7">
                  <c:v>37.408228857243756</c:v>
                </c:pt>
                <c:pt idx="8">
                  <c:v>36.155533401775187</c:v>
                </c:pt>
                <c:pt idx="9">
                  <c:v>34.876273582077445</c:v>
                </c:pt>
                <c:pt idx="10">
                  <c:v>33.570524353013411</c:v>
                </c:pt>
                <c:pt idx="11">
                  <c:v>32.238513847752778</c:v>
                </c:pt>
                <c:pt idx="12">
                  <c:v>30.880616840746402</c:v>
                </c:pt>
                <c:pt idx="13">
                  <c:v>29.497344278717151</c:v>
                </c:pt>
                <c:pt idx="14">
                  <c:v>28.08932954413303</c:v>
                </c:pt>
                <c:pt idx="15">
                  <c:v>26.657312276465333</c:v>
                </c:pt>
                <c:pt idx="16">
                  <c:v>25.202120652387435</c:v>
                </c:pt>
                <c:pt idx="17">
                  <c:v>23.724653018596786</c:v>
                </c:pt>
                <c:pt idx="18">
                  <c:v>22.225859692711957</c:v>
                </c:pt>
                <c:pt idx="19">
                  <c:v>20.706725618328953</c:v>
                </c:pt>
                <c:pt idx="20">
                  <c:v>19.168254402066786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BD-4F07-A737-B9624BB40A57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'16.7-1,2,3'!$U$63:$U$83</c:f>
              <c:numCache>
                <c:formatCode>0.00</c:formatCode>
                <c:ptCount val="21"/>
                <c:pt idx="0">
                  <c:v>74.263690204294221</c:v>
                </c:pt>
                <c:pt idx="1">
                  <c:v>72.807700539126643</c:v>
                </c:pt>
                <c:pt idx="2">
                  <c:v>71.3748547565596</c:v>
                </c:pt>
                <c:pt idx="3">
                  <c:v>69.965983810525316</c:v>
                </c:pt>
                <c:pt idx="4">
                  <c:v>68.581830757009996</c:v>
                </c:pt>
                <c:pt idx="5">
                  <c:v>67.223032996642772</c:v>
                </c:pt>
                <c:pt idx="6">
                  <c:v>65.890106026365629</c:v>
                </c:pt>
                <c:pt idx="7">
                  <c:v>64.58342960244326</c:v>
                </c:pt>
                <c:pt idx="8">
                  <c:v>63.303237144246893</c:v>
                </c:pt>
                <c:pt idx="9">
                  <c:v>62.049609050279699</c:v>
                </c:pt>
                <c:pt idx="10">
                  <c:v>60.822470365678811</c:v>
                </c:pt>
                <c:pt idx="11">
                  <c:v>59.621592957274508</c:v>
                </c:pt>
                <c:pt idx="12">
                  <c:v>58.446602050615951</c:v>
                </c:pt>
                <c:pt idx="13">
                  <c:v>57.296986698980277</c:v>
                </c:pt>
                <c:pt idx="14">
                  <c:v>56.172113519899462</c:v>
                </c:pt>
                <c:pt idx="15">
                  <c:v>55.071242873902236</c:v>
                </c:pt>
                <c:pt idx="16">
                  <c:v>53.993546584315197</c:v>
                </c:pt>
                <c:pt idx="17">
                  <c:v>52.938126304440928</c:v>
                </c:pt>
                <c:pt idx="18">
                  <c:v>51.904031716660818</c:v>
                </c:pt>
                <c:pt idx="19">
                  <c:v>50.890277877378885</c:v>
                </c:pt>
                <c:pt idx="20">
                  <c:v>49.89586117997613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BD-4F07-A737-B9624BB40A57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'[2]Fig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D-4F07-A737-B9624BB4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1.8"/>
          <c:min val="-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4"/>
      </c:valAx>
      <c:valAx>
        <c:axId val="1836212991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 Overfire Air, </a:t>
            </a:r>
            <a:r>
              <a:rPr lang="en-US" i="1"/>
              <a:t>p</a:t>
            </a:r>
            <a:r>
              <a:rPr lang="en-US"/>
              <a:t> = 0.3111</a:t>
            </a:r>
          </a:p>
        </c:rich>
      </c:tx>
      <c:layout>
        <c:manualLayout>
          <c:xMode val="edge"/>
          <c:yMode val="edge"/>
          <c:x val="0.31855342381612328"/>
          <c:y val="2.4582104228121928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'16.7-1,2,3'!$AH$3:$AH$30</c:f>
              <c:numCache>
                <c:formatCode>0.000</c:formatCode>
                <c:ptCount val="28"/>
                <c:pt idx="0">
                  <c:v>-1.647193302870531E-2</c:v>
                </c:pt>
                <c:pt idx="1">
                  <c:v>-1.0584392775826013E-2</c:v>
                </c:pt>
                <c:pt idx="2">
                  <c:v>1.0521528241643541E-2</c:v>
                </c:pt>
                <c:pt idx="3">
                  <c:v>2.1557675503859786E-2</c:v>
                </c:pt>
                <c:pt idx="4">
                  <c:v>-6.7281984009652795E-3</c:v>
                </c:pt>
                <c:pt idx="5">
                  <c:v>-4.1259758187208728E-3</c:v>
                </c:pt>
                <c:pt idx="6">
                  <c:v>-1.1097796202273136E-2</c:v>
                </c:pt>
                <c:pt idx="7">
                  <c:v>-4.1259758187208728E-3</c:v>
                </c:pt>
                <c:pt idx="8">
                  <c:v>-6.1196429612149217E-3</c:v>
                </c:pt>
                <c:pt idx="9">
                  <c:v>8.1894738989696236E-3</c:v>
                </c:pt>
                <c:pt idx="10">
                  <c:v>1.8985237361970775E-2</c:v>
                </c:pt>
                <c:pt idx="11">
                  <c:v>-9.0504785343448191E-5</c:v>
                </c:pt>
                <c:pt idx="12">
                  <c:v>-9.0504785343448191E-5</c:v>
                </c:pt>
                <c:pt idx="13">
                  <c:v>-9.0504785343448191E-5</c:v>
                </c:pt>
                <c:pt idx="14">
                  <c:v>-6.8198281301043995E-3</c:v>
                </c:pt>
                <c:pt idx="15">
                  <c:v>-6.8198281301043995E-3</c:v>
                </c:pt>
                <c:pt idx="16">
                  <c:v>-6.8198281301043995E-3</c:v>
                </c:pt>
                <c:pt idx="17">
                  <c:v>5.2930723058056683E-3</c:v>
                </c:pt>
                <c:pt idx="18">
                  <c:v>-9.1475924820771937E-3</c:v>
                </c:pt>
                <c:pt idx="19">
                  <c:v>-5.0856435117962784E-2</c:v>
                </c:pt>
                <c:pt idx="20">
                  <c:v>4.7799926594389586E-3</c:v>
                </c:pt>
                <c:pt idx="21">
                  <c:v>1.5918392071572751E-2</c:v>
                </c:pt>
                <c:pt idx="22">
                  <c:v>4.0159076108240432E-2</c:v>
                </c:pt>
                <c:pt idx="23">
                  <c:v>1.4510347151286407E-3</c:v>
                </c:pt>
                <c:pt idx="24">
                  <c:v>1.9676202304814705E-3</c:v>
                </c:pt>
                <c:pt idx="25">
                  <c:v>4.5991090126080714E-3</c:v>
                </c:pt>
                <c:pt idx="26">
                  <c:v>4.5991090126080714E-3</c:v>
                </c:pt>
                <c:pt idx="27">
                  <c:v>1.9676202304814705E-3</c:v>
                </c:pt>
              </c:numCache>
            </c:numRef>
          </c:xVal>
          <c:yVal>
            <c:numRef>
              <c:f>'16.7-1,2,3'!$AM$3:$AM$30</c:f>
              <c:numCache>
                <c:formatCode>0.0</c:formatCode>
                <c:ptCount val="28"/>
                <c:pt idx="0">
                  <c:v>50.592018541653779</c:v>
                </c:pt>
                <c:pt idx="1">
                  <c:v>57.343317261303817</c:v>
                </c:pt>
                <c:pt idx="2">
                  <c:v>45.069933831448054</c:v>
                </c:pt>
                <c:pt idx="3">
                  <c:v>43.638907410958602</c:v>
                </c:pt>
                <c:pt idx="4">
                  <c:v>48.538556414516187</c:v>
                </c:pt>
                <c:pt idx="5">
                  <c:v>49.552510930344468</c:v>
                </c:pt>
                <c:pt idx="6">
                  <c:v>48.930802584681686</c:v>
                </c:pt>
                <c:pt idx="7">
                  <c:v>48.652510930344469</c:v>
                </c:pt>
                <c:pt idx="8">
                  <c:v>49.295982997400529</c:v>
                </c:pt>
                <c:pt idx="9">
                  <c:v>50.649019425668413</c:v>
                </c:pt>
                <c:pt idx="10">
                  <c:v>54.515011100251499</c:v>
                </c:pt>
                <c:pt idx="11">
                  <c:v>49.91285909236359</c:v>
                </c:pt>
                <c:pt idx="12">
                  <c:v>51.012859092363584</c:v>
                </c:pt>
                <c:pt idx="13">
                  <c:v>52.112859092363585</c:v>
                </c:pt>
                <c:pt idx="14">
                  <c:v>51.460429284430958</c:v>
                </c:pt>
                <c:pt idx="15">
                  <c:v>51.460429284430958</c:v>
                </c:pt>
                <c:pt idx="16">
                  <c:v>52.460429284430958</c:v>
                </c:pt>
                <c:pt idx="17">
                  <c:v>50.624701292994502</c:v>
                </c:pt>
                <c:pt idx="18">
                  <c:v>40.094631524531394</c:v>
                </c:pt>
                <c:pt idx="19">
                  <c:v>62.013356614441214</c:v>
                </c:pt>
                <c:pt idx="20">
                  <c:v>42.01829806421987</c:v>
                </c:pt>
                <c:pt idx="21">
                  <c:v>47.539672594631881</c:v>
                </c:pt>
                <c:pt idx="22">
                  <c:v>59.702945816385601</c:v>
                </c:pt>
                <c:pt idx="23">
                  <c:v>53.845701201979743</c:v>
                </c:pt>
                <c:pt idx="24">
                  <c:v>49.603663455027608</c:v>
                </c:pt>
                <c:pt idx="25">
                  <c:v>45.777464710902827</c:v>
                </c:pt>
                <c:pt idx="26">
                  <c:v>41.277464710902827</c:v>
                </c:pt>
                <c:pt idx="27">
                  <c:v>44.103663455027608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8-4A03-8917-7BAFC6F65975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'16.7-1,2,3'!$E$37:$E$38</c:f>
              <c:numCache>
                <c:formatCode>0.000</c:formatCode>
                <c:ptCount val="2"/>
                <c:pt idx="0">
                  <c:v>-5.0856435117962784E-2</c:v>
                </c:pt>
                <c:pt idx="1">
                  <c:v>4.0159076108240432E-2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28-4A03-8917-7BAFC6F65975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'16.7-1,2,3'!$E$37:$E$38</c:f>
              <c:numCache>
                <c:formatCode>0.000</c:formatCode>
                <c:ptCount val="2"/>
                <c:pt idx="0">
                  <c:v>-5.0856435117962784E-2</c:v>
                </c:pt>
                <c:pt idx="1">
                  <c:v>4.0159076108240432E-2</c:v>
                </c:pt>
              </c:numCache>
            </c:numRef>
          </c:xVal>
          <c:yVal>
            <c:numRef>
              <c:f>'16.7-1,2,3'!$J$37:$J$38</c:f>
              <c:numCache>
                <c:formatCode>General</c:formatCode>
                <c:ptCount val="2"/>
                <c:pt idx="0">
                  <c:v>53.359903454667304</c:v>
                </c:pt>
                <c:pt idx="1">
                  <c:v>46.822719469996059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8-4A03-8917-7BAFC6F65975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'16.7-1,2,3'!$E$63:$E$83</c:f>
              <c:numCache>
                <c:formatCode>0.00</c:formatCode>
                <c:ptCount val="21"/>
                <c:pt idx="0">
                  <c:v>44.517455871891919</c:v>
                </c:pt>
                <c:pt idx="1">
                  <c:v>44.914669746531338</c:v>
                </c:pt>
                <c:pt idx="2">
                  <c:v>45.305000870979939</c:v>
                </c:pt>
                <c:pt idx="3">
                  <c:v>45.686236339830003</c:v>
                </c:pt>
                <c:pt idx="4">
                  <c:v>46.055153551904276</c:v>
                </c:pt>
                <c:pt idx="5">
                  <c:v>46.406915987998595</c:v>
                </c:pt>
                <c:pt idx="6">
                  <c:v>46.734030615988445</c:v>
                </c:pt>
                <c:pt idx="7">
                  <c:v>47.02453193609071</c:v>
                </c:pt>
                <c:pt idx="8">
                  <c:v>47.258913690899966</c:v>
                </c:pt>
                <c:pt idx="9">
                  <c:v>47.405645230065808</c:v>
                </c:pt>
                <c:pt idx="10">
                  <c:v>47.417735156159857</c:v>
                </c:pt>
                <c:pt idx="11">
                  <c:v>47.240346813932476</c:v>
                </c:pt>
                <c:pt idx="12">
                  <c:v>46.840555590861165</c:v>
                </c:pt>
                <c:pt idx="13">
                  <c:v>46.23523456573492</c:v>
                </c:pt>
                <c:pt idx="14">
                  <c:v>45.475886445374336</c:v>
                </c:pt>
                <c:pt idx="15">
                  <c:v>44.614168452065698</c:v>
                </c:pt>
                <c:pt idx="16">
                  <c:v>43.686896478463439</c:v>
                </c:pt>
                <c:pt idx="17">
                  <c:v>42.717233837069159</c:v>
                </c:pt>
                <c:pt idx="18">
                  <c:v>41.719362387963642</c:v>
                </c:pt>
                <c:pt idx="19">
                  <c:v>40.702083476948516</c:v>
                </c:pt>
                <c:pt idx="20">
                  <c:v>39.671015639096836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28-4A03-8917-7BAFC6F65975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'16.7-1,2,3'!$J$63:$J$83</c:f>
              <c:numCache>
                <c:formatCode>0.00</c:formatCode>
                <c:ptCount val="21"/>
                <c:pt idx="0">
                  <c:v>62.202351037442689</c:v>
                </c:pt>
                <c:pt idx="1">
                  <c:v>61.15141876433615</c:v>
                </c:pt>
                <c:pt idx="2">
                  <c:v>60.107369241420429</c:v>
                </c:pt>
                <c:pt idx="3">
                  <c:v>59.07241537410323</c:v>
                </c:pt>
                <c:pt idx="4">
                  <c:v>58.049779763561837</c:v>
                </c:pt>
                <c:pt idx="5">
                  <c:v>57.044298929000398</c:v>
                </c:pt>
                <c:pt idx="6">
                  <c:v>56.063465902543413</c:v>
                </c:pt>
                <c:pt idx="7">
                  <c:v>55.119246183974028</c:v>
                </c:pt>
                <c:pt idx="8">
                  <c:v>54.231146030697651</c:v>
                </c:pt>
                <c:pt idx="9">
                  <c:v>53.430696093064675</c:v>
                </c:pt>
                <c:pt idx="10">
                  <c:v>52.764887768503506</c:v>
                </c:pt>
                <c:pt idx="11">
                  <c:v>52.288557712263767</c:v>
                </c:pt>
                <c:pt idx="12">
                  <c:v>52.034630536867944</c:v>
                </c:pt>
                <c:pt idx="13">
                  <c:v>51.986233163527068</c:v>
                </c:pt>
                <c:pt idx="14">
                  <c:v>52.091862885420532</c:v>
                </c:pt>
                <c:pt idx="15">
                  <c:v>52.299862480262036</c:v>
                </c:pt>
                <c:pt idx="16">
                  <c:v>52.573416055397175</c:v>
                </c:pt>
                <c:pt idx="17">
                  <c:v>52.889360298324334</c:v>
                </c:pt>
                <c:pt idx="18">
                  <c:v>53.233513348962717</c:v>
                </c:pt>
                <c:pt idx="19">
                  <c:v>53.597073861510722</c:v>
                </c:pt>
                <c:pt idx="20">
                  <c:v>53.974423300895282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28-4A03-8917-7BAFC6F65975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'16.7-1,2,3'!$O$63:$O$83</c:f>
              <c:numCache>
                <c:formatCode>0.00</c:formatCode>
                <c:ptCount val="21"/>
                <c:pt idx="0">
                  <c:v>37.357253768869981</c:v>
                </c:pt>
                <c:pt idx="1">
                  <c:v>37.418822456733196</c:v>
                </c:pt>
                <c:pt idx="2">
                  <c:v>37.452547947111306</c:v>
                </c:pt>
                <c:pt idx="3">
                  <c:v>37.456411764986356</c:v>
                </c:pt>
                <c:pt idx="4">
                  <c:v>37.428387808056243</c:v>
                </c:pt>
                <c:pt idx="5">
                  <c:v>37.366485038567347</c:v>
                </c:pt>
                <c:pt idx="6">
                  <c:v>37.268797501965913</c:v>
                </c:pt>
                <c:pt idx="7">
                  <c:v>37.133559985105904</c:v>
                </c:pt>
                <c:pt idx="8">
                  <c:v>36.959206575182193</c:v>
                </c:pt>
                <c:pt idx="9">
                  <c:v>36.744428409070863</c:v>
                </c:pt>
                <c:pt idx="10">
                  <c:v>36.488226224888585</c:v>
                </c:pt>
                <c:pt idx="11">
                  <c:v>36.189953155185272</c:v>
                </c:pt>
                <c:pt idx="12">
                  <c:v>35.849343678884793</c:v>
                </c:pt>
                <c:pt idx="13">
                  <c:v>35.466525791966212</c:v>
                </c:pt>
                <c:pt idx="14">
                  <c:v>35.042015119614319</c:v>
                </c:pt>
                <c:pt idx="15">
                  <c:v>34.576691590764483</c:v>
                </c:pt>
                <c:pt idx="16">
                  <c:v>34.07176107899987</c:v>
                </c:pt>
                <c:pt idx="17">
                  <c:v>33.528705763629198</c:v>
                </c:pt>
                <c:pt idx="18">
                  <c:v>32.949227682044452</c:v>
                </c:pt>
                <c:pt idx="19">
                  <c:v>32.335189989074543</c:v>
                </c:pt>
                <c:pt idx="20">
                  <c:v>31.688559916287183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28-4A03-8917-7BAFC6F65975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'16.7-1,2,3'!$T$63:$T$83</c:f>
              <c:numCache>
                <c:formatCode>0.00</c:formatCode>
                <c:ptCount val="21"/>
                <c:pt idx="0">
                  <c:v>69.362553140464627</c:v>
                </c:pt>
                <c:pt idx="1">
                  <c:v>68.647266054134292</c:v>
                </c:pt>
                <c:pt idx="2">
                  <c:v>67.959822165289069</c:v>
                </c:pt>
                <c:pt idx="3">
                  <c:v>67.302239948946877</c:v>
                </c:pt>
                <c:pt idx="4">
                  <c:v>66.67654550740987</c:v>
                </c:pt>
                <c:pt idx="5">
                  <c:v>66.084729878431645</c:v>
                </c:pt>
                <c:pt idx="6">
                  <c:v>65.528699016565952</c:v>
                </c:pt>
                <c:pt idx="7">
                  <c:v>65.010218134958834</c:v>
                </c:pt>
                <c:pt idx="8">
                  <c:v>64.530853146415424</c:v>
                </c:pt>
                <c:pt idx="9">
                  <c:v>64.09191291405962</c:v>
                </c:pt>
                <c:pt idx="10">
                  <c:v>63.694396699774778</c:v>
                </c:pt>
                <c:pt idx="11">
                  <c:v>63.338951371010971</c:v>
                </c:pt>
                <c:pt idx="12">
                  <c:v>63.025842448844315</c:v>
                </c:pt>
                <c:pt idx="13">
                  <c:v>62.754941937295776</c:v>
                </c:pt>
                <c:pt idx="14">
                  <c:v>62.525734211180549</c:v>
                </c:pt>
                <c:pt idx="15">
                  <c:v>62.337339341563251</c:v>
                </c:pt>
                <c:pt idx="16">
                  <c:v>62.188551454860743</c:v>
                </c:pt>
                <c:pt idx="17">
                  <c:v>62.077888371764296</c:v>
                </c:pt>
                <c:pt idx="18">
                  <c:v>62.003648054881907</c:v>
                </c:pt>
                <c:pt idx="19">
                  <c:v>61.963967349384696</c:v>
                </c:pt>
                <c:pt idx="20">
                  <c:v>61.956879023704936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228-4A03-8917-7BAFC6F65975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'[2]Fig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28-4A03-8917-7BAFC6F6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4.0000000000000008E-2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2.0000000000000004E-2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5.000000000000001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Actual Vs. </a:t>
            </a:r>
          </a:p>
          <a:p>
            <a:pPr>
              <a:defRPr/>
            </a:pPr>
            <a:r>
              <a:rPr lang="en-US" sz="1400"/>
              <a:t>Predicted NOx, </a:t>
            </a:r>
          </a:p>
          <a:p>
            <a:pPr>
              <a:defRPr/>
            </a:pPr>
            <a:r>
              <a:rPr lang="en-US" sz="1400" i="1"/>
              <a:t>R</a:t>
            </a:r>
            <a:r>
              <a:rPr lang="en-US" sz="1400" baseline="30000"/>
              <a:t>2 </a:t>
            </a:r>
            <a:r>
              <a:rPr lang="en-US" sz="1400"/>
              <a:t>= 0.9825</a:t>
            </a:r>
          </a:p>
          <a:p>
            <a:pPr>
              <a:defRPr/>
            </a:pPr>
            <a:r>
              <a:rPr lang="en-US" sz="1400" i="1"/>
              <a:t>s </a:t>
            </a:r>
            <a:r>
              <a:rPr lang="en-US" sz="1400"/>
              <a:t>= 5.546</a:t>
            </a:r>
          </a:p>
        </c:rich>
      </c:tx>
      <c:layout>
        <c:manualLayout>
          <c:xMode val="edge"/>
          <c:yMode val="edge"/>
          <c:x val="0.13588774301442405"/>
          <c:y val="5.2336237661676499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43783189891962"/>
          <c:y val="2.5102923606212843E-2"/>
          <c:w val="0.83084123786852226"/>
          <c:h val="0.89172400639133997"/>
        </c:manualLayout>
      </c:layout>
      <c:scatterChart>
        <c:scatterStyle val="lineMarker"/>
        <c:varyColors val="0"/>
        <c:ser>
          <c:idx val="0"/>
          <c:order val="0"/>
          <c:tx>
            <c:v>Act. Vs. Pred. Data Pts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'16.7-1,2,3'!$C$3:$C$30</c:f>
              <c:numCache>
                <c:formatCode>0.0</c:formatCode>
                <c:ptCount val="28"/>
                <c:pt idx="0">
                  <c:v>85.998219980632285</c:v>
                </c:pt>
                <c:pt idx="1">
                  <c:v>82.624049012813998</c:v>
                </c:pt>
                <c:pt idx="2">
                  <c:v>57.481500850362728</c:v>
                </c:pt>
                <c:pt idx="3">
                  <c:v>47.519856613253388</c:v>
                </c:pt>
                <c:pt idx="4">
                  <c:v>40.951838915093312</c:v>
                </c:pt>
                <c:pt idx="5">
                  <c:v>33.550979908370124</c:v>
                </c:pt>
                <c:pt idx="6">
                  <c:v>35.273438861721132</c:v>
                </c:pt>
                <c:pt idx="7">
                  <c:v>33.550979908370124</c:v>
                </c:pt>
                <c:pt idx="8">
                  <c:v>32.750702871909994</c:v>
                </c:pt>
                <c:pt idx="9">
                  <c:v>29.069914928396063</c:v>
                </c:pt>
                <c:pt idx="10">
                  <c:v>20.028518149098968</c:v>
                </c:pt>
                <c:pt idx="11">
                  <c:v>28.000784265904958</c:v>
                </c:pt>
                <c:pt idx="12">
                  <c:v>28.000784265904958</c:v>
                </c:pt>
                <c:pt idx="13">
                  <c:v>28.000784265904958</c:v>
                </c:pt>
                <c:pt idx="14">
                  <c:v>28.436547345327089</c:v>
                </c:pt>
                <c:pt idx="15">
                  <c:v>28.436547345327089</c:v>
                </c:pt>
                <c:pt idx="16">
                  <c:v>28.436547345327089</c:v>
                </c:pt>
                <c:pt idx="17">
                  <c:v>27.402266942907271</c:v>
                </c:pt>
                <c:pt idx="18">
                  <c:v>46.269536649138885</c:v>
                </c:pt>
                <c:pt idx="19">
                  <c:v>72.846546840241786</c:v>
                </c:pt>
                <c:pt idx="20">
                  <c:v>55.845522088480649</c:v>
                </c:pt>
                <c:pt idx="21">
                  <c:v>51.42413264554186</c:v>
                </c:pt>
                <c:pt idx="22">
                  <c:v>76.319773653595377</c:v>
                </c:pt>
                <c:pt idx="23">
                  <c:v>78.45722116820059</c:v>
                </c:pt>
                <c:pt idx="24">
                  <c:v>78.562155189510847</c:v>
                </c:pt>
                <c:pt idx="25">
                  <c:v>78.99934739957699</c:v>
                </c:pt>
                <c:pt idx="26">
                  <c:v>78.99934739957699</c:v>
                </c:pt>
                <c:pt idx="27">
                  <c:v>78.562155189510847</c:v>
                </c:pt>
              </c:numCache>
            </c:numRef>
          </c:xVal>
          <c:yVal>
            <c:numRef>
              <c:f>'16.7-1,2,3'!$B$3:$B$30</c:f>
              <c:numCache>
                <c:formatCode>0.0</c:formatCode>
                <c:ptCount val="28"/>
                <c:pt idx="0">
                  <c:v>85.7</c:v>
                </c:pt>
                <c:pt idx="1">
                  <c:v>89.5</c:v>
                </c:pt>
                <c:pt idx="2">
                  <c:v>53.6</c:v>
                </c:pt>
                <c:pt idx="3">
                  <c:v>43</c:v>
                </c:pt>
                <c:pt idx="4">
                  <c:v>39.299999999999997</c:v>
                </c:pt>
                <c:pt idx="5">
                  <c:v>33.1</c:v>
                </c:pt>
                <c:pt idx="6">
                  <c:v>33.700000000000003</c:v>
                </c:pt>
                <c:pt idx="7">
                  <c:v>32.200000000000003</c:v>
                </c:pt>
                <c:pt idx="8">
                  <c:v>31.9</c:v>
                </c:pt>
                <c:pt idx="9">
                  <c:v>30.6</c:v>
                </c:pt>
                <c:pt idx="10">
                  <c:v>26.2</c:v>
                </c:pt>
                <c:pt idx="11">
                  <c:v>28.2</c:v>
                </c:pt>
                <c:pt idx="12">
                  <c:v>29.3</c:v>
                </c:pt>
                <c:pt idx="13">
                  <c:v>30.4</c:v>
                </c:pt>
                <c:pt idx="14">
                  <c:v>29.7</c:v>
                </c:pt>
                <c:pt idx="15">
                  <c:v>29.7</c:v>
                </c:pt>
                <c:pt idx="16">
                  <c:v>30.7</c:v>
                </c:pt>
                <c:pt idx="17">
                  <c:v>28.7</c:v>
                </c:pt>
                <c:pt idx="18">
                  <c:v>36</c:v>
                </c:pt>
                <c:pt idx="19">
                  <c:v>81.5</c:v>
                </c:pt>
                <c:pt idx="20">
                  <c:v>48.5</c:v>
                </c:pt>
                <c:pt idx="21">
                  <c:v>50.4</c:v>
                </c:pt>
                <c:pt idx="22">
                  <c:v>89.2</c:v>
                </c:pt>
                <c:pt idx="23">
                  <c:v>82.7</c:v>
                </c:pt>
                <c:pt idx="24">
                  <c:v>78.599999999999994</c:v>
                </c:pt>
                <c:pt idx="25">
                  <c:v>75.400000000000006</c:v>
                </c:pt>
                <c:pt idx="26">
                  <c:v>70.900000000000006</c:v>
                </c:pt>
                <c:pt idx="27">
                  <c:v>73.099999999999994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7-4DFD-9EE5-0CAD95412B15}"/>
            </c:ext>
          </c:extLst>
        </c:ser>
        <c:ser>
          <c:idx val="1"/>
          <c:order val="1"/>
          <c:tx>
            <c:v>Regress.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EC7-4DFD-9EE5-0CAD95412B15}"/>
            </c:ext>
          </c:extLst>
        </c:ser>
        <c:ser>
          <c:idx val="2"/>
          <c:order val="2"/>
          <c:tx>
            <c:v>Mean Value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7-4DFD-9EE5-0CAD95412B15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'[2]Fig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'[2]Fig 16.7-4'!$Y$3:$Y$23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C7-4DFD-9EE5-0CAD95412B15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'[2]Fig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'[2]Fig 16.7-4'!$Z$3:$Z$23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C7-4DFD-9EE5-0CAD95412B15}"/>
            </c:ext>
          </c:extLst>
        </c:ser>
        <c:ser>
          <c:idx val="5"/>
          <c:order val="5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'[2]Fig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'[2]Fig 16.7-4'!$AA$3:$AA$23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C7-4DFD-9EE5-0CAD95412B15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'[2]Fig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'[2]Fig 16.7-4'!$AB$3:$AB$23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C7-4DFD-9EE5-0CAD95412B15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'[2]Fig 16.7-4'!$S$27:$S$28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xVal>
          <c:yVal>
            <c:numRef>
              <c:f>'[2]Fig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C7-4DFD-9EE5-0CAD9541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857296"/>
        <c:axId val="1008859008"/>
      </c:scatterChart>
      <c:valAx>
        <c:axId val="100885729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9008"/>
        <c:crosses val="autoZero"/>
        <c:crossBetween val="midCat"/>
      </c:valAx>
      <c:valAx>
        <c:axId val="1008859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'16.8-1'!$M$54</c:f>
          <c:strCache>
            <c:ptCount val="1"/>
            <c:pt idx="0">
              <c:v>Leverage Plot, O2 x O2, p &lt; 0.0001</c:v>
            </c:pt>
          </c:strCache>
        </c:strRef>
      </c:tx>
      <c:layout>
        <c:manualLayout>
          <c:xMode val="edge"/>
          <c:yMode val="edge"/>
          <c:x val="0.24141666666666667"/>
          <c:y val="2.6868328958880139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826334208223973E-2"/>
          <c:y val="1.5256999125109361E-2"/>
          <c:w val="0.94068766404199478"/>
          <c:h val="0.9341922572178478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'16.8-1'!$E$3:$E$30</c:f>
              <c:numCache>
                <c:formatCode>0.000</c:formatCode>
                <c:ptCount val="28"/>
                <c:pt idx="0">
                  <c:v>-0.54401329185791569</c:v>
                </c:pt>
                <c:pt idx="1">
                  <c:v>-0.4964809446072791</c:v>
                </c:pt>
                <c:pt idx="2">
                  <c:v>-0.97982023212496827</c:v>
                </c:pt>
                <c:pt idx="3">
                  <c:v>-0.74937818187663252</c:v>
                </c:pt>
                <c:pt idx="4">
                  <c:v>-0.18879041218238324</c:v>
                </c:pt>
                <c:pt idx="5">
                  <c:v>0.35873576895677362</c:v>
                </c:pt>
                <c:pt idx="6">
                  <c:v>0.39505317533733852</c:v>
                </c:pt>
                <c:pt idx="7">
                  <c:v>0.35873576895677362</c:v>
                </c:pt>
                <c:pt idx="8">
                  <c:v>0.48423181546884941</c:v>
                </c:pt>
                <c:pt idx="9">
                  <c:v>0.42776587736766231</c:v>
                </c:pt>
                <c:pt idx="10">
                  <c:v>0.93396065656216742</c:v>
                </c:pt>
                <c:pt idx="11">
                  <c:v>-0.18546216798164039</c:v>
                </c:pt>
                <c:pt idx="12">
                  <c:v>-0.18546216798164039</c:v>
                </c:pt>
                <c:pt idx="13">
                  <c:v>-0.18546216798164039</c:v>
                </c:pt>
                <c:pt idx="14">
                  <c:v>-0.16033742808314755</c:v>
                </c:pt>
                <c:pt idx="15">
                  <c:v>-0.16033742808314755</c:v>
                </c:pt>
                <c:pt idx="16">
                  <c:v>-0.16033742808314755</c:v>
                </c:pt>
                <c:pt idx="17">
                  <c:v>-0.17697468438429764</c:v>
                </c:pt>
                <c:pt idx="18">
                  <c:v>-0.60649833641992723</c:v>
                </c:pt>
                <c:pt idx="19">
                  <c:v>-1.1810091163615053</c:v>
                </c:pt>
                <c:pt idx="20">
                  <c:v>1.2368349060862087</c:v>
                </c:pt>
                <c:pt idx="21">
                  <c:v>1.765046019267682</c:v>
                </c:pt>
                <c:pt idx="22">
                  <c:v>0.48013519870603455</c:v>
                </c:pt>
                <c:pt idx="23">
                  <c:v>-8.1637697724690983E-2</c:v>
                </c:pt>
                <c:pt idx="24">
                  <c:v>-8.8148941678667714E-2</c:v>
                </c:pt>
                <c:pt idx="25">
                  <c:v>-0.11109980880909875</c:v>
                </c:pt>
                <c:pt idx="26">
                  <c:v>-0.11109980880909875</c:v>
                </c:pt>
                <c:pt idx="27">
                  <c:v>-8.8148941678667714E-2</c:v>
                </c:pt>
              </c:numCache>
            </c:numRef>
          </c:xVal>
          <c:yVal>
            <c:numRef>
              <c:f>'16.8-1'!$F$3:$F$30</c:f>
              <c:numCache>
                <c:formatCode>0.0</c:formatCode>
                <c:ptCount val="28"/>
                <c:pt idx="0">
                  <c:v>54.086108565115403</c:v>
                </c:pt>
                <c:pt idx="1">
                  <c:v>60.851617432882371</c:v>
                </c:pt>
                <c:pt idx="2">
                  <c:v>54.249703028247396</c:v>
                </c:pt>
                <c:pt idx="3">
                  <c:v>51.630108432398636</c:v>
                </c:pt>
                <c:pt idx="4">
                  <c:v>49.678440411729518</c:v>
                </c:pt>
                <c:pt idx="5">
                  <c:v>46.171911461414751</c:v>
                </c:pt>
                <c:pt idx="6">
                  <c:v>44.737211509704473</c:v>
                </c:pt>
                <c:pt idx="7">
                  <c:v>45.271911461414753</c:v>
                </c:pt>
                <c:pt idx="8">
                  <c:v>44.693228991723572</c:v>
                </c:pt>
                <c:pt idx="9">
                  <c:v>47.559486098460624</c:v>
                </c:pt>
                <c:pt idx="10">
                  <c:v>47.848844035454206</c:v>
                </c:pt>
                <c:pt idx="11">
                  <c:v>51.500880289225989</c:v>
                </c:pt>
                <c:pt idx="12">
                  <c:v>52.600880289225998</c:v>
                </c:pt>
                <c:pt idx="13">
                  <c:v>53.700880289225992</c:v>
                </c:pt>
                <c:pt idx="14">
                  <c:v>52.349105807799631</c:v>
                </c:pt>
                <c:pt idx="15">
                  <c:v>52.349105807799631</c:v>
                </c:pt>
                <c:pt idx="16">
                  <c:v>53.349105807799631</c:v>
                </c:pt>
                <c:pt idx="17">
                  <c:v>52.526425981919942</c:v>
                </c:pt>
                <c:pt idx="18">
                  <c:v>44.652010675177962</c:v>
                </c:pt>
                <c:pt idx="19">
                  <c:v>68.51439008743381</c:v>
                </c:pt>
                <c:pt idx="20">
                  <c:v>31.727861247535976</c:v>
                </c:pt>
                <c:pt idx="21">
                  <c:v>33.507925145473735</c:v>
                </c:pt>
                <c:pt idx="22">
                  <c:v>58.459379109199126</c:v>
                </c:pt>
                <c:pt idx="23">
                  <c:v>54.65180650897036</c:v>
                </c:pt>
                <c:pt idx="24">
                  <c:v>50.502853283519975</c:v>
                </c:pt>
                <c:pt idx="25">
                  <c:v>47.06298247881309</c:v>
                </c:pt>
                <c:pt idx="26">
                  <c:v>42.56298247881309</c:v>
                </c:pt>
                <c:pt idx="27">
                  <c:v>45.002853283519975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8-4937-B476-3CECFF63B46E}"/>
            </c:ext>
          </c:extLst>
        </c:ser>
        <c:ser>
          <c:idx val="1"/>
          <c:order val="1"/>
          <c:tx>
            <c:v>Line of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'16.8-1'!$D$35:$D$55</c:f>
              <c:numCache>
                <c:formatCode>0.0</c:formatCode>
                <c:ptCount val="21"/>
                <c:pt idx="0">
                  <c:v>59.860936927671332</c:v>
                </c:pt>
                <c:pt idx="1">
                  <c:v>58.594492970838857</c:v>
                </c:pt>
                <c:pt idx="2">
                  <c:v>57.328049014006389</c:v>
                </c:pt>
                <c:pt idx="3">
                  <c:v>56.061605057173921</c:v>
                </c:pt>
                <c:pt idx="4">
                  <c:v>54.795161100341453</c:v>
                </c:pt>
                <c:pt idx="5">
                  <c:v>53.528717143508985</c:v>
                </c:pt>
                <c:pt idx="6">
                  <c:v>52.262273186676516</c:v>
                </c:pt>
                <c:pt idx="7">
                  <c:v>50.995829229844041</c:v>
                </c:pt>
                <c:pt idx="8">
                  <c:v>49.729385273011573</c:v>
                </c:pt>
                <c:pt idx="9">
                  <c:v>48.462941316179105</c:v>
                </c:pt>
                <c:pt idx="10">
                  <c:v>47.196497359346637</c:v>
                </c:pt>
                <c:pt idx="11">
                  <c:v>45.930053402514169</c:v>
                </c:pt>
                <c:pt idx="12">
                  <c:v>44.663609445681693</c:v>
                </c:pt>
                <c:pt idx="13">
                  <c:v>43.397165488849225</c:v>
                </c:pt>
                <c:pt idx="14">
                  <c:v>42.130721532016757</c:v>
                </c:pt>
                <c:pt idx="15">
                  <c:v>40.864277575184289</c:v>
                </c:pt>
                <c:pt idx="16">
                  <c:v>39.597833618351821</c:v>
                </c:pt>
                <c:pt idx="17">
                  <c:v>38.331389661519353</c:v>
                </c:pt>
                <c:pt idx="18">
                  <c:v>37.064945704686878</c:v>
                </c:pt>
                <c:pt idx="19">
                  <c:v>35.798501747854409</c:v>
                </c:pt>
                <c:pt idx="20">
                  <c:v>34.532057791021941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8-4937-B476-3CECFF63B46E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'16.8-1'!$G$35:$G$55</c:f>
              <c:numCache>
                <c:formatCode>0.0</c:formatCode>
                <c:ptCount val="21"/>
                <c:pt idx="0">
                  <c:v>54.425554306818292</c:v>
                </c:pt>
                <c:pt idx="1">
                  <c:v>53.68334731355764</c:v>
                </c:pt>
                <c:pt idx="2">
                  <c:v>52.921595354108867</c:v>
                </c:pt>
                <c:pt idx="3">
                  <c:v>52.132759068280016</c:v>
                </c:pt>
                <c:pt idx="4">
                  <c:v>51.305699464228738</c:v>
                </c:pt>
                <c:pt idx="5">
                  <c:v>50.424144874550116</c:v>
                </c:pt>
                <c:pt idx="6">
                  <c:v>49.465505374664637</c:v>
                </c:pt>
                <c:pt idx="7">
                  <c:v>48.402189668676321</c:v>
                </c:pt>
                <c:pt idx="8">
                  <c:v>47.208762947070191</c:v>
                </c:pt>
                <c:pt idx="9">
                  <c:v>45.874192119241464</c:v>
                </c:pt>
                <c:pt idx="10">
                  <c:v>44.408806082126773</c:v>
                </c:pt>
                <c:pt idx="11">
                  <c:v>42.837750431044292</c:v>
                </c:pt>
                <c:pt idx="12">
                  <c:v>41.188704060571702</c:v>
                </c:pt>
                <c:pt idx="13">
                  <c:v>39.484479459865717</c:v>
                </c:pt>
                <c:pt idx="14">
                  <c:v>37.741556321504596</c:v>
                </c:pt>
                <c:pt idx="15">
                  <c:v>35.971226861491537</c:v>
                </c:pt>
                <c:pt idx="16">
                  <c:v>34.181134061776866</c:v>
                </c:pt>
                <c:pt idx="17">
                  <c:v>32.376489356437773</c:v>
                </c:pt>
                <c:pt idx="18">
                  <c:v>30.560904195090444</c:v>
                </c:pt>
                <c:pt idx="19">
                  <c:v>28.736930461555769</c:v>
                </c:pt>
                <c:pt idx="20">
                  <c:v>26.906407860541737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18-4937-B476-3CECFF63B46E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'16.8-1'!$H$35:$H$55</c:f>
              <c:numCache>
                <c:formatCode>0.0</c:formatCode>
                <c:ptCount val="21"/>
                <c:pt idx="0">
                  <c:v>65.29631954852438</c:v>
                </c:pt>
                <c:pt idx="1">
                  <c:v>63.505638628120074</c:v>
                </c:pt>
                <c:pt idx="2">
                  <c:v>61.734502673903911</c:v>
                </c:pt>
                <c:pt idx="3">
                  <c:v>59.990451046067825</c:v>
                </c:pt>
                <c:pt idx="4">
                  <c:v>58.284622736454168</c:v>
                </c:pt>
                <c:pt idx="5">
                  <c:v>56.633289412467853</c:v>
                </c:pt>
                <c:pt idx="6">
                  <c:v>55.059040998688396</c:v>
                </c:pt>
                <c:pt idx="7">
                  <c:v>53.589468791011761</c:v>
                </c:pt>
                <c:pt idx="8">
                  <c:v>52.250007598952955</c:v>
                </c:pt>
                <c:pt idx="9">
                  <c:v>51.051690513116746</c:v>
                </c:pt>
                <c:pt idx="10">
                  <c:v>49.9841886365665</c:v>
                </c:pt>
                <c:pt idx="11">
                  <c:v>49.022356373984046</c:v>
                </c:pt>
                <c:pt idx="12">
                  <c:v>48.138514830791685</c:v>
                </c:pt>
                <c:pt idx="13">
                  <c:v>47.309851517832733</c:v>
                </c:pt>
                <c:pt idx="14">
                  <c:v>46.519886742528918</c:v>
                </c:pt>
                <c:pt idx="15">
                  <c:v>45.757328288877041</c:v>
                </c:pt>
                <c:pt idx="16">
                  <c:v>45.014533174926775</c:v>
                </c:pt>
                <c:pt idx="17">
                  <c:v>44.286289966600933</c:v>
                </c:pt>
                <c:pt idx="18">
                  <c:v>43.568987214283311</c:v>
                </c:pt>
                <c:pt idx="19">
                  <c:v>42.860073034153046</c:v>
                </c:pt>
                <c:pt idx="20">
                  <c:v>42.157707721502142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18-4937-B476-3CECFF63B46E}"/>
            </c:ext>
          </c:extLst>
        </c:ser>
        <c:ser>
          <c:idx val="4"/>
          <c:order val="4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'16.8-1'!$I$35:$I$55</c:f>
              <c:numCache>
                <c:formatCode>0.0</c:formatCode>
                <c:ptCount val="21"/>
                <c:pt idx="0">
                  <c:v>45.45818365104779</c:v>
                </c:pt>
                <c:pt idx="1">
                  <c:v>44.381285402550439</c:v>
                </c:pt>
                <c:pt idx="2">
                  <c:v>43.281243271452553</c:v>
                </c:pt>
                <c:pt idx="3">
                  <c:v>42.157226303821915</c:v>
                </c:pt>
                <c:pt idx="4">
                  <c:v>41.00849144367232</c:v>
                </c:pt>
                <c:pt idx="5">
                  <c:v>39.834401290374615</c:v>
                </c:pt>
                <c:pt idx="6">
                  <c:v>38.634440346986828</c:v>
                </c:pt>
                <c:pt idx="7">
                  <c:v>37.408228857244275</c:v>
                </c:pt>
                <c:pt idx="8">
                  <c:v>36.155533401775713</c:v>
                </c:pt>
                <c:pt idx="9">
                  <c:v>34.876273582077992</c:v>
                </c:pt>
                <c:pt idx="10">
                  <c:v>33.570524353013965</c:v>
                </c:pt>
                <c:pt idx="11">
                  <c:v>32.238513847753339</c:v>
                </c:pt>
                <c:pt idx="12">
                  <c:v>30.880616840746967</c:v>
                </c:pt>
                <c:pt idx="13">
                  <c:v>29.497344278717719</c:v>
                </c:pt>
                <c:pt idx="14">
                  <c:v>28.089329544133602</c:v>
                </c:pt>
                <c:pt idx="15">
                  <c:v>26.657312276465909</c:v>
                </c:pt>
                <c:pt idx="16">
                  <c:v>25.202120652388025</c:v>
                </c:pt>
                <c:pt idx="17">
                  <c:v>23.724653018597373</c:v>
                </c:pt>
                <c:pt idx="18">
                  <c:v>22.22585969271254</c:v>
                </c:pt>
                <c:pt idx="19">
                  <c:v>20.706725618329546</c:v>
                </c:pt>
                <c:pt idx="20">
                  <c:v>19.168254402067376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18-4937-B476-3CECFF63B46E}"/>
            </c:ext>
          </c:extLst>
        </c:ser>
        <c:ser>
          <c:idx val="5"/>
          <c:order val="5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'16.8-1'!$J$35:$J$55</c:f>
              <c:numCache>
                <c:formatCode>0.0</c:formatCode>
                <c:ptCount val="21"/>
                <c:pt idx="0">
                  <c:v>74.263690204294875</c:v>
                </c:pt>
                <c:pt idx="1">
                  <c:v>72.807700539127268</c:v>
                </c:pt>
                <c:pt idx="2">
                  <c:v>71.374854756560225</c:v>
                </c:pt>
                <c:pt idx="3">
                  <c:v>69.965983810525927</c:v>
                </c:pt>
                <c:pt idx="4">
                  <c:v>68.581830757010593</c:v>
                </c:pt>
                <c:pt idx="5">
                  <c:v>67.223032996643354</c:v>
                </c:pt>
                <c:pt idx="6">
                  <c:v>65.890106026366198</c:v>
                </c:pt>
                <c:pt idx="7">
                  <c:v>64.5834296024438</c:v>
                </c:pt>
                <c:pt idx="8">
                  <c:v>63.303237144247433</c:v>
                </c:pt>
                <c:pt idx="9">
                  <c:v>62.049609050280218</c:v>
                </c:pt>
                <c:pt idx="10">
                  <c:v>60.822470365679308</c:v>
                </c:pt>
                <c:pt idx="11">
                  <c:v>59.621592957274999</c:v>
                </c:pt>
                <c:pt idx="12">
                  <c:v>58.44660205061642</c:v>
                </c:pt>
                <c:pt idx="13">
                  <c:v>57.296986698980731</c:v>
                </c:pt>
                <c:pt idx="14">
                  <c:v>56.172113519899909</c:v>
                </c:pt>
                <c:pt idx="15">
                  <c:v>55.071242873902669</c:v>
                </c:pt>
                <c:pt idx="16">
                  <c:v>53.993546584315617</c:v>
                </c:pt>
                <c:pt idx="17">
                  <c:v>52.938126304441333</c:v>
                </c:pt>
                <c:pt idx="18">
                  <c:v>51.904031716661216</c:v>
                </c:pt>
                <c:pt idx="19">
                  <c:v>50.890277877379276</c:v>
                </c:pt>
                <c:pt idx="20">
                  <c:v>49.895861179976507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18-4937-B476-3CECFF63B46E}"/>
            </c:ext>
          </c:extLst>
        </c:ser>
        <c:ser>
          <c:idx val="6"/>
          <c:order val="6"/>
          <c:tx>
            <c:v>Mean y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('16.8-1'!$C$35,'16.8-1'!$C$55)</c:f>
              <c:numCache>
                <c:formatCode>0.00</c:formatCode>
                <c:ptCount val="2"/>
                <c:pt idx="0">
                  <c:v>-1.1810091163615053</c:v>
                </c:pt>
                <c:pt idx="1">
                  <c:v>1.765046019267682</c:v>
                </c:pt>
              </c:numCache>
            </c:numRef>
          </c:xVal>
          <c:yVal>
            <c:numRef>
              <c:f>('16.8-1'!$B$31,'16.8-1'!$B$31)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18-4937-B476-3CECFF63B46E}"/>
            </c:ext>
          </c:extLst>
        </c:ser>
        <c:ser>
          <c:idx val="7"/>
          <c:order val="7"/>
          <c:tx>
            <c:v>Mean x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Ref>
              <c:f>'16.8-1'!$L$37:$L$38</c:f>
              <c:numCache>
                <c:formatCode>0.0</c:formatCode>
                <c:ptCount val="2"/>
                <c:pt idx="0">
                  <c:v>31.727861247535976</c:v>
                </c:pt>
                <c:pt idx="1">
                  <c:v>68.51439008743381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18-4937-B476-3CECFF63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813536"/>
        <c:axId val="708667312"/>
      </c:scatterChart>
      <c:valAx>
        <c:axId val="119381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'16.8-1'!$M$55</c:f>
              <c:strCache>
                <c:ptCount val="1"/>
                <c:pt idx="0">
                  <c:v>22. O2 x O2 Leverage</c:v>
                </c:pt>
              </c:strCache>
            </c:strRef>
          </c:tx>
          <c:layout>
            <c:manualLayout>
              <c:xMode val="edge"/>
              <c:yMode val="edge"/>
              <c:x val="0.3345890201224847"/>
              <c:y val="0.8938748906386702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67312"/>
        <c:crosses val="autoZero"/>
        <c:crossBetween val="midCat"/>
      </c:valAx>
      <c:valAx>
        <c:axId val="708667312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NOx Leverage</a:t>
                </a:r>
              </a:p>
            </c:rich>
          </c:tx>
          <c:layout>
            <c:manualLayout>
              <c:xMode val="edge"/>
              <c:yMode val="edge"/>
              <c:x val="7.4999999999999997E-2"/>
              <c:y val="0.4262836832895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813536"/>
        <c:crossesAt val="-1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16371133351773E-2"/>
          <c:y val="2.7554450208628525E-2"/>
          <c:w val="0.93221953583671691"/>
          <c:h val="0.88155121817491611"/>
        </c:manualLayout>
      </c:layout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'18.1-3'!$S$4:$S$24</c:f>
              <c:numCache>
                <c:formatCode>0.0%</c:formatCode>
                <c:ptCount val="21"/>
                <c:pt idx="0">
                  <c:v>0.55934339712107406</c:v>
                </c:pt>
                <c:pt idx="1">
                  <c:v>0.6460697579568242</c:v>
                </c:pt>
                <c:pt idx="2">
                  <c:v>0.72445544469939982</c:v>
                </c:pt>
                <c:pt idx="3">
                  <c:v>0.7937229542475458</c:v>
                </c:pt>
                <c:pt idx="4">
                  <c:v>0.85328981713333829</c:v>
                </c:pt>
                <c:pt idx="5">
                  <c:v>0.90276859752218552</c:v>
                </c:pt>
                <c:pt idx="6">
                  <c:v>0.94196689321282789</c:v>
                </c:pt>
                <c:pt idx="7">
                  <c:v>0.97088733563733731</c:v>
                </c:pt>
                <c:pt idx="8">
                  <c:v>0.98972758986111731</c:v>
                </c:pt>
                <c:pt idx="9">
                  <c:v>0.99888035458290336</c:v>
                </c:pt>
                <c:pt idx="10">
                  <c:v>0.99893336213476325</c:v>
                </c:pt>
                <c:pt idx="11">
                  <c:v>0.99066937848209591</c:v>
                </c:pt>
                <c:pt idx="12">
                  <c:v>0.97506620322363213</c:v>
                </c:pt>
                <c:pt idx="13">
                  <c:v>0.95329666959143478</c:v>
                </c:pt>
                <c:pt idx="14">
                  <c:v>0.92672864445089886</c:v>
                </c:pt>
                <c:pt idx="15">
                  <c:v>0.89692502830074983</c:v>
                </c:pt>
                <c:pt idx="16">
                  <c:v>0.8656437552730476</c:v>
                </c:pt>
                <c:pt idx="17">
                  <c:v>0.83483779313318007</c:v>
                </c:pt>
                <c:pt idx="18">
                  <c:v>0.80665514327987109</c:v>
                </c:pt>
                <c:pt idx="19">
                  <c:v>0.78343884074517256</c:v>
                </c:pt>
                <c:pt idx="20">
                  <c:v>0.76772695419447123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12-4C53-B6D6-776A52FCEDCA}"/>
            </c:ext>
          </c:extLst>
        </c:ser>
        <c:ser>
          <c:idx val="1"/>
          <c:order val="1"/>
          <c:tx>
            <c:v>Normalized Data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'18.1-3'!$C$4:$C$17</c:f>
              <c:numCache>
                <c:formatCode>0.0%</c:formatCode>
                <c:ptCount val="14"/>
                <c:pt idx="0">
                  <c:v>9.3023255813953501E-2</c:v>
                </c:pt>
                <c:pt idx="1">
                  <c:v>0.16279069767441859</c:v>
                </c:pt>
                <c:pt idx="2">
                  <c:v>0.23255813953488372</c:v>
                </c:pt>
                <c:pt idx="3">
                  <c:v>0.30232558139534887</c:v>
                </c:pt>
                <c:pt idx="4">
                  <c:v>0.372093023255814</c:v>
                </c:pt>
                <c:pt idx="5">
                  <c:v>0.44186046511627908</c:v>
                </c:pt>
                <c:pt idx="6">
                  <c:v>0.51162790697674421</c:v>
                </c:pt>
                <c:pt idx="7">
                  <c:v>0.58139534883720934</c:v>
                </c:pt>
                <c:pt idx="8">
                  <c:v>0.65116279069767435</c:v>
                </c:pt>
                <c:pt idx="9">
                  <c:v>0.72093023255813959</c:v>
                </c:pt>
                <c:pt idx="10">
                  <c:v>0.79069767441860461</c:v>
                </c:pt>
                <c:pt idx="11">
                  <c:v>0.86046511627906985</c:v>
                </c:pt>
                <c:pt idx="12">
                  <c:v>0.93023255813953487</c:v>
                </c:pt>
                <c:pt idx="13">
                  <c:v>1</c:v>
                </c:pt>
              </c:numCache>
            </c:numRef>
          </c:xVal>
          <c:yVal>
            <c:numRef>
              <c:f>'18.1-3'!$E$4:$E$17</c:f>
              <c:numCache>
                <c:formatCode>0.0%</c:formatCode>
                <c:ptCount val="14"/>
                <c:pt idx="0">
                  <c:v>0.71301737646470897</c:v>
                </c:pt>
                <c:pt idx="1">
                  <c:v>0.8127659213587356</c:v>
                </c:pt>
                <c:pt idx="2">
                  <c:v>0.8903481229429786</c:v>
                </c:pt>
                <c:pt idx="3">
                  <c:v>0.92729202845928471</c:v>
                </c:pt>
                <c:pt idx="4">
                  <c:v>0.99009666783700523</c:v>
                </c:pt>
                <c:pt idx="5">
                  <c:v>1.0011798394918971</c:v>
                </c:pt>
                <c:pt idx="6">
                  <c:v>1.0048742300435276</c:v>
                </c:pt>
                <c:pt idx="7">
                  <c:v>0.97162471507885206</c:v>
                </c:pt>
                <c:pt idx="8">
                  <c:v>0.94945837176906844</c:v>
                </c:pt>
                <c:pt idx="9">
                  <c:v>0.91251446625276222</c:v>
                </c:pt>
                <c:pt idx="10">
                  <c:v>0.88295934183971736</c:v>
                </c:pt>
                <c:pt idx="11">
                  <c:v>0.82384909301362741</c:v>
                </c:pt>
                <c:pt idx="12">
                  <c:v>0.79059957804895187</c:v>
                </c:pt>
                <c:pt idx="13">
                  <c:v>0.76843323473916825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12-4C53-B6D6-776A52FCEDCA}"/>
            </c:ext>
          </c:extLst>
        </c:ser>
        <c:ser>
          <c:idx val="2"/>
          <c:order val="2"/>
          <c:tx>
            <c:v>LCL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'18.1-3'!$U$4:$U$24</c:f>
              <c:numCache>
                <c:formatCode>0.0%</c:formatCode>
                <c:ptCount val="21"/>
                <c:pt idx="0">
                  <c:v>0.49149533981564902</c:v>
                </c:pt>
                <c:pt idx="1">
                  <c:v>0.60803095499754356</c:v>
                </c:pt>
                <c:pt idx="2">
                  <c:v>0.70419802416801525</c:v>
                </c:pt>
                <c:pt idx="3">
                  <c:v>0.7799705394849975</c:v>
                </c:pt>
                <c:pt idx="4">
                  <c:v>0.83961548283536069</c:v>
                </c:pt>
                <c:pt idx="5">
                  <c:v>0.88892225111443612</c:v>
                </c:pt>
                <c:pt idx="6">
                  <c:v>0.92899916036655816</c:v>
                </c:pt>
                <c:pt idx="7">
                  <c:v>0.95911506220777487</c:v>
                </c:pt>
                <c:pt idx="8">
                  <c:v>0.97855922133807105</c:v>
                </c:pt>
                <c:pt idx="9">
                  <c:v>0.98749293349624123</c:v>
                </c:pt>
                <c:pt idx="10">
                  <c:v>0.98702569223688297</c:v>
                </c:pt>
                <c:pt idx="11">
                  <c:v>0.97854033823530107</c:v>
                </c:pt>
                <c:pt idx="12">
                  <c:v>0.96322373554883756</c:v>
                </c:pt>
                <c:pt idx="13">
                  <c:v>0.941974013528312</c:v>
                </c:pt>
                <c:pt idx="14">
                  <c:v>0.91553025344506445</c:v>
                </c:pt>
                <c:pt idx="15">
                  <c:v>0.88500503364314476</c:v>
                </c:pt>
                <c:pt idx="16">
                  <c:v>0.85251095101857255</c:v>
                </c:pt>
                <c:pt idx="17">
                  <c:v>0.82094704287797993</c:v>
                </c:pt>
                <c:pt idx="18">
                  <c:v>0.79306708235570866</c:v>
                </c:pt>
                <c:pt idx="19">
                  <c:v>0.76934949974637434</c:v>
                </c:pt>
                <c:pt idx="20">
                  <c:v>0.7456902600684161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12-4C53-B6D6-776A52FCEDCA}"/>
            </c:ext>
          </c:extLst>
        </c:ser>
        <c:ser>
          <c:idx val="3"/>
          <c:order val="3"/>
          <c:tx>
            <c:v>UCL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'18.1-3'!$V$4:$V$24</c:f>
              <c:numCache>
                <c:formatCode>0.0%</c:formatCode>
                <c:ptCount val="21"/>
                <c:pt idx="0">
                  <c:v>0.62719145442649915</c:v>
                </c:pt>
                <c:pt idx="1">
                  <c:v>0.68410856091610484</c:v>
                </c:pt>
                <c:pt idx="2">
                  <c:v>0.7447128652307845</c:v>
                </c:pt>
                <c:pt idx="3">
                  <c:v>0.80747536901009409</c:v>
                </c:pt>
                <c:pt idx="4">
                  <c:v>0.86696415143131589</c:v>
                </c:pt>
                <c:pt idx="5">
                  <c:v>0.91661494392993492</c:v>
                </c:pt>
                <c:pt idx="6">
                  <c:v>0.9549346260590974</c:v>
                </c:pt>
                <c:pt idx="7">
                  <c:v>0.98265960906689975</c:v>
                </c:pt>
                <c:pt idx="8">
                  <c:v>1.0008959583841637</c:v>
                </c:pt>
                <c:pt idx="9">
                  <c:v>1.0102677756695655</c:v>
                </c:pt>
                <c:pt idx="10">
                  <c:v>1.0108410320326435</c:v>
                </c:pt>
                <c:pt idx="11">
                  <c:v>1.0027984187288908</c:v>
                </c:pt>
                <c:pt idx="12">
                  <c:v>0.98690867089842671</c:v>
                </c:pt>
                <c:pt idx="13">
                  <c:v>0.96461932565455744</c:v>
                </c:pt>
                <c:pt idx="14">
                  <c:v>0.93792703545673328</c:v>
                </c:pt>
                <c:pt idx="15">
                  <c:v>0.90884502295835479</c:v>
                </c:pt>
                <c:pt idx="16">
                  <c:v>0.87877655952752265</c:v>
                </c:pt>
                <c:pt idx="17">
                  <c:v>0.84872854338838011</c:v>
                </c:pt>
                <c:pt idx="18">
                  <c:v>0.82024320420403352</c:v>
                </c:pt>
                <c:pt idx="19">
                  <c:v>0.79752818174397078</c:v>
                </c:pt>
                <c:pt idx="20">
                  <c:v>0.78976364832052648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12-4C53-B6D6-776A52FCEDCA}"/>
            </c:ext>
          </c:extLst>
        </c:ser>
        <c:ser>
          <c:idx val="4"/>
          <c:order val="4"/>
          <c:tx>
            <c:v>LPL</c:v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'18.1-3'!$X$4:$X$24</c:f>
              <c:numCache>
                <c:formatCode>0.0%</c:formatCode>
                <c:ptCount val="21"/>
                <c:pt idx="0">
                  <c:v>0.48740722451785895</c:v>
                </c:pt>
                <c:pt idx="1">
                  <c:v>0.60114310017712402</c:v>
                </c:pt>
                <c:pt idx="2">
                  <c:v>0.6931214833273569</c:v>
                </c:pt>
                <c:pt idx="3">
                  <c:v>0.76614428567053738</c:v>
                </c:pt>
                <c:pt idx="4">
                  <c:v>0.82575000109959973</c:v>
                </c:pt>
                <c:pt idx="5">
                  <c:v>0.87514296888639331</c:v>
                </c:pt>
                <c:pt idx="6">
                  <c:v>0.91477100852687698</c:v>
                </c:pt>
                <c:pt idx="7">
                  <c:v>0.94424075104606753</c:v>
                </c:pt>
                <c:pt idx="8">
                  <c:v>0.96334224347063213</c:v>
                </c:pt>
                <c:pt idx="9">
                  <c:v>0.97240154404156154</c:v>
                </c:pt>
                <c:pt idx="10">
                  <c:v>0.97222668411078961</c:v>
                </c:pt>
                <c:pt idx="11">
                  <c:v>0.96386326600774241</c:v>
                </c:pt>
                <c:pt idx="12">
                  <c:v>0.94838853298599946</c:v>
                </c:pt>
                <c:pt idx="13">
                  <c:v>0.92684564713476802</c:v>
                </c:pt>
                <c:pt idx="14">
                  <c:v>0.90033057615416789</c:v>
                </c:pt>
                <c:pt idx="15">
                  <c:v>0.87021285277503402</c:v>
                </c:pt>
                <c:pt idx="16">
                  <c:v>0.83836877413161193</c:v>
                </c:pt>
                <c:pt idx="17">
                  <c:v>0.80718988197642794</c:v>
                </c:pt>
                <c:pt idx="18">
                  <c:v>0.77915806255558206</c:v>
                </c:pt>
                <c:pt idx="19">
                  <c:v>0.75569062317251157</c:v>
                </c:pt>
                <c:pt idx="20">
                  <c:v>0.73521434223104032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12-4C53-B6D6-776A52FCEDCA}"/>
            </c:ext>
          </c:extLst>
        </c:ser>
        <c:ser>
          <c:idx val="5"/>
          <c:order val="5"/>
          <c:tx>
            <c:v>UPL</c:v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'18.1-3'!$Y$4:$Y$24</c:f>
              <c:numCache>
                <c:formatCode>0.0%</c:formatCode>
                <c:ptCount val="21"/>
                <c:pt idx="0">
                  <c:v>0.63127956972428922</c:v>
                </c:pt>
                <c:pt idx="1">
                  <c:v>0.69099641573652437</c:v>
                </c:pt>
                <c:pt idx="2">
                  <c:v>0.75578940607144274</c:v>
                </c:pt>
                <c:pt idx="3">
                  <c:v>0.82130162282455421</c:v>
                </c:pt>
                <c:pt idx="4">
                  <c:v>0.88082963316707685</c:v>
                </c:pt>
                <c:pt idx="5">
                  <c:v>0.93039422615797784</c:v>
                </c:pt>
                <c:pt idx="6">
                  <c:v>0.96916277789877869</c:v>
                </c:pt>
                <c:pt idx="7">
                  <c:v>0.9975339202286071</c:v>
                </c:pt>
                <c:pt idx="8">
                  <c:v>1.0161129362516026</c:v>
                </c:pt>
                <c:pt idx="9">
                  <c:v>1.0253591651242453</c:v>
                </c:pt>
                <c:pt idx="10">
                  <c:v>1.0256400401587369</c:v>
                </c:pt>
                <c:pt idx="11">
                  <c:v>1.0174754909564494</c:v>
                </c:pt>
                <c:pt idx="12">
                  <c:v>1.0017438734612649</c:v>
                </c:pt>
                <c:pt idx="13">
                  <c:v>0.97974769204810153</c:v>
                </c:pt>
                <c:pt idx="14">
                  <c:v>0.95312671274762983</c:v>
                </c:pt>
                <c:pt idx="15">
                  <c:v>0.92363720382646552</c:v>
                </c:pt>
                <c:pt idx="16">
                  <c:v>0.89291873641448316</c:v>
                </c:pt>
                <c:pt idx="17">
                  <c:v>0.86248570428993221</c:v>
                </c:pt>
                <c:pt idx="18">
                  <c:v>0.83415222400416011</c:v>
                </c:pt>
                <c:pt idx="19">
                  <c:v>0.81118705831783355</c:v>
                </c:pt>
                <c:pt idx="20">
                  <c:v>0.80023956615790226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12-4C53-B6D6-776A52F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32256"/>
        <c:axId val="718089712"/>
      </c:scatterChart>
      <c:valAx>
        <c:axId val="7180322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89712"/>
        <c:crosses val="autoZero"/>
        <c:crossBetween val="midCat"/>
        <c:majorUnit val="0.1"/>
      </c:valAx>
      <c:valAx>
        <c:axId val="718089712"/>
        <c:scaling>
          <c:orientation val="minMax"/>
          <c:max val="1.04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3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80927384076992E-2"/>
          <c:y val="3.0113478629178729E-2"/>
          <c:w val="0.90080557725162347"/>
          <c:h val="0.87055115030833563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'20.3-1'!$A$2:$A$12</c:f>
              <c:numCache>
                <c:formatCode>General</c:formatCode>
                <c:ptCount val="11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50</c:v>
                </c:pt>
              </c:numCache>
            </c:numRef>
          </c:xVal>
          <c:yVal>
            <c:numRef>
              <c:f>'20.3-1'!$B$2:$B$12</c:f>
              <c:numCache>
                <c:formatCode>General</c:formatCode>
                <c:ptCount val="11"/>
                <c:pt idx="0">
                  <c:v>68.3</c:v>
                </c:pt>
                <c:pt idx="1">
                  <c:v>55.3</c:v>
                </c:pt>
                <c:pt idx="2">
                  <c:v>58.1</c:v>
                </c:pt>
                <c:pt idx="3">
                  <c:v>44.4</c:v>
                </c:pt>
                <c:pt idx="4">
                  <c:v>61.2</c:v>
                </c:pt>
                <c:pt idx="5">
                  <c:v>35.9</c:v>
                </c:pt>
                <c:pt idx="6">
                  <c:v>42.6</c:v>
                </c:pt>
                <c:pt idx="7">
                  <c:v>34.5</c:v>
                </c:pt>
                <c:pt idx="8">
                  <c:v>58.6</c:v>
                </c:pt>
                <c:pt idx="9">
                  <c:v>18.399999999999999</c:v>
                </c:pt>
                <c:pt idx="10">
                  <c:v>24.7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9A-496C-AC09-3CD404C6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188832"/>
        <c:axId val="1205190544"/>
      </c:scatterChart>
      <c:valAx>
        <c:axId val="1205188832"/>
        <c:scaling>
          <c:orientation val="minMax"/>
          <c:max val="50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Screw Speed</a:t>
                </a:r>
                <a:r>
                  <a:rPr lang="en-US" sz="14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[%]</a:t>
                </a:r>
                <a:endParaRPr lang="en-US" sz="14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668961798729189"/>
              <c:y val="0.7261038895964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5190544"/>
        <c:crosses val="autoZero"/>
        <c:crossBetween val="midCat"/>
      </c:valAx>
      <c:valAx>
        <c:axId val="1205190544"/>
        <c:scaling>
          <c:orientation val="minMax"/>
          <c:max val="70"/>
          <c:min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</a:t>
                </a:r>
                <a:r>
                  <a:rPr lang="en-US" sz="1200" b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[ppm]</a:t>
                </a:r>
                <a:endParaRPr 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1377344249197358"/>
              <c:y val="0.3265175022605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51888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95250</xdr:rowOff>
    </xdr:from>
    <xdr:to>
      <xdr:col>1</xdr:col>
      <xdr:colOff>2477280</xdr:colOff>
      <xdr:row>21</xdr:row>
      <xdr:rowOff>171516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5C6FE-D153-A9A0-FECF-85FF431B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95725"/>
          <a:ext cx="5591955" cy="4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203202</xdr:colOff>
      <xdr:row>1</xdr:row>
      <xdr:rowOff>50802</xdr:rowOff>
    </xdr:from>
    <xdr:ext cx="108107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EDD6BEB-FCE1-4A10-A022-C20ACF877C93}"/>
                </a:ext>
              </a:extLst>
            </xdr:cNvPr>
            <xdr:cNvSpPr txBox="1"/>
          </xdr:nvSpPr>
          <xdr:spPr>
            <a:xfrm>
              <a:off x="1774827" y="250827"/>
              <a:ext cx="108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1" i="0">
                            <a:latin typeface="Cambria Math" panose="02040503050406030204" pitchFamily="18" charset="0"/>
                          </a:rPr>
                          <m:t>𝐲</m:t>
                        </m:r>
                      </m:e>
                    </m:acc>
                  </m:oMath>
                </m:oMathPara>
              </a14:m>
              <a:endParaRPr lang="en-US" sz="1100" b="1" i="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EDD6BEB-FCE1-4A10-A022-C20ACF877C93}"/>
                </a:ext>
              </a:extLst>
            </xdr:cNvPr>
            <xdr:cNvSpPr txBox="1"/>
          </xdr:nvSpPr>
          <xdr:spPr>
            <a:xfrm>
              <a:off x="1774827" y="250827"/>
              <a:ext cx="108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𝐲 ̂</a:t>
              </a:r>
              <a:endParaRPr lang="en-US" sz="1100" b="1" i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343498</xdr:colOff>
      <xdr:row>1</xdr:row>
      <xdr:rowOff>166889</xdr:rowOff>
    </xdr:from>
    <xdr:ext cx="2768202" cy="273354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93A2CB-3F6B-4B54-BD99-246650A22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28</xdr:col>
      <xdr:colOff>373329</xdr:colOff>
      <xdr:row>16</xdr:row>
      <xdr:rowOff>4944</xdr:rowOff>
    </xdr:from>
    <xdr:ext cx="2768202" cy="27253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7918366-66CA-4C7E-BF2F-3ED3ACD1C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343498</xdr:colOff>
      <xdr:row>1</xdr:row>
      <xdr:rowOff>166889</xdr:rowOff>
    </xdr:from>
    <xdr:ext cx="2768202" cy="27335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0378EC-960A-42D9-9B2F-BC9FC610D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28</xdr:col>
      <xdr:colOff>373329</xdr:colOff>
      <xdr:row>16</xdr:row>
      <xdr:rowOff>4944</xdr:rowOff>
    </xdr:from>
    <xdr:ext cx="2768202" cy="27253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E827AE-A8A1-46F8-9A73-559567DF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6350</xdr:rowOff>
    </xdr:from>
    <xdr:to>
      <xdr:col>19</xdr:col>
      <xdr:colOff>190500</xdr:colOff>
      <xdr:row>12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E51293-631E-4B82-952E-BDF4769AF5EC}"/>
            </a:ext>
          </a:extLst>
        </xdr:cNvPr>
        <xdr:cNvGrpSpPr/>
      </xdr:nvGrpSpPr>
      <xdr:grpSpPr>
        <a:xfrm>
          <a:off x="4829175" y="6350"/>
          <a:ext cx="4610100" cy="2797175"/>
          <a:chOff x="5105400" y="209550"/>
          <a:chExt cx="457200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D44D9A2-B2C3-5ACF-976D-CB59704690B2}"/>
              </a:ext>
            </a:extLst>
          </xdr:cNvPr>
          <xdr:cNvGraphicFramePr>
            <a:graphicFrameLocks/>
          </xdr:cNvGraphicFramePr>
        </xdr:nvGraphicFramePr>
        <xdr:xfrm>
          <a:off x="5105400" y="2095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85B6FF2-BD64-D568-6C70-9A07FBCDC1A6}"/>
              </a:ext>
            </a:extLst>
          </xdr:cNvPr>
          <xdr:cNvSpPr/>
        </xdr:nvSpPr>
        <xdr:spPr>
          <a:xfrm rot="10800000" flipV="1">
            <a:off x="5721350" y="1974849"/>
            <a:ext cx="184150" cy="36576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AFBF35A-40A6-E503-66C9-05645625E5A0}"/>
              </a:ext>
            </a:extLst>
          </xdr:cNvPr>
          <xdr:cNvSpPr/>
        </xdr:nvSpPr>
        <xdr:spPr>
          <a:xfrm rot="10800000" flipV="1">
            <a:off x="6448425" y="1965705"/>
            <a:ext cx="184150" cy="45720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1489974-8CEF-F7DC-4457-0BEBA62FF08C}"/>
              </a:ext>
            </a:extLst>
          </xdr:cNvPr>
          <xdr:cNvSpPr/>
        </xdr:nvSpPr>
        <xdr:spPr>
          <a:xfrm rot="10800000" flipV="1">
            <a:off x="6911975" y="1804288"/>
            <a:ext cx="184150" cy="210312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70535FAC-7127-7BAE-5CA0-2BABBEE06A17}"/>
              </a:ext>
            </a:extLst>
          </xdr:cNvPr>
          <xdr:cNvSpPr/>
        </xdr:nvSpPr>
        <xdr:spPr>
          <a:xfrm rot="10800000" flipV="1">
            <a:off x="7308850" y="1795144"/>
            <a:ext cx="184150" cy="219456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B4DDBDB-AC65-AF5C-AA29-7CABA4E21FDF}"/>
              </a:ext>
            </a:extLst>
          </xdr:cNvPr>
          <xdr:cNvSpPr/>
        </xdr:nvSpPr>
        <xdr:spPr>
          <a:xfrm rot="10800000" flipV="1">
            <a:off x="7705725" y="1450975"/>
            <a:ext cx="184150" cy="568325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4A9F8ED-0BE2-BBA7-63FE-432203F77E58}"/>
              </a:ext>
            </a:extLst>
          </xdr:cNvPr>
          <xdr:cNvSpPr/>
        </xdr:nvSpPr>
        <xdr:spPr>
          <a:xfrm rot="10800000" flipV="1">
            <a:off x="8162925" y="589661"/>
            <a:ext cx="184150" cy="1426464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C97695D-788F-6672-8EF1-A3B65B2FE157}"/>
              </a:ext>
            </a:extLst>
          </xdr:cNvPr>
          <xdr:cNvSpPr/>
        </xdr:nvSpPr>
        <xdr:spPr>
          <a:xfrm rot="10800000" flipV="1">
            <a:off x="8893175" y="553084"/>
            <a:ext cx="184150" cy="1463040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</xdr:colOff>
      <xdr:row>64</xdr:row>
      <xdr:rowOff>0</xdr:rowOff>
    </xdr:from>
    <xdr:ext cx="3099816" cy="30998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EAAB6-454A-48C3-8C80-5EF9EE00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0</xdr:colOff>
      <xdr:row>64</xdr:row>
      <xdr:rowOff>0</xdr:rowOff>
    </xdr:from>
    <xdr:ext cx="3099816" cy="30998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E410A-9D1B-4CC6-86BE-A841B0E5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30480</xdr:colOff>
      <xdr:row>64</xdr:row>
      <xdr:rowOff>0</xdr:rowOff>
    </xdr:from>
    <xdr:ext cx="3099816" cy="309981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4F055D-73E0-4BB0-8A96-D6C69802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0</xdr:colOff>
      <xdr:row>80</xdr:row>
      <xdr:rowOff>0</xdr:rowOff>
    </xdr:from>
    <xdr:ext cx="3099816" cy="3099816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58E726-99B8-4E63-A560-622CDBA34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30480</xdr:colOff>
      <xdr:row>80</xdr:row>
      <xdr:rowOff>0</xdr:rowOff>
    </xdr:from>
    <xdr:ext cx="3099816" cy="3099816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3BBADD-F623-4C8A-9CCA-CC736D857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80</xdr:row>
      <xdr:rowOff>0</xdr:rowOff>
    </xdr:from>
    <xdr:ext cx="3099816" cy="3154602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C886D4-F4EF-4A1F-9765-8E07980F23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12</xdr:col>
      <xdr:colOff>50799</xdr:colOff>
      <xdr:row>20</xdr:row>
      <xdr:rowOff>20320</xdr:rowOff>
    </xdr:from>
    <xdr:ext cx="4038600" cy="451358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AE17B5-4960-4853-8511-D43071BB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25</xdr:row>
      <xdr:rowOff>76201</xdr:rowOff>
    </xdr:from>
    <xdr:to>
      <xdr:col>23</xdr:col>
      <xdr:colOff>406400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C4C5A-D389-4F7D-85A0-789D4FB5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50798</xdr:colOff>
      <xdr:row>9</xdr:row>
      <xdr:rowOff>29632</xdr:rowOff>
    </xdr:from>
    <xdr:to>
      <xdr:col>10</xdr:col>
      <xdr:colOff>482600</xdr:colOff>
      <xdr:row>17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1F9B-2A09-48EA-8AC3-467CE7E2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\Desktop\XRealStats%20.xlam" TargetMode="External"/><Relationship Id="rId1" Type="http://schemas.openxmlformats.org/officeDocument/2006/relationships/externalLinkPath" Target="/Users/patri/Desktop/XRealStats%20.xla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\Dropbox\Faber%20Burner%20Shared\All%20Figures%20and%20Tables\16.%20Non-Ideal%20Data\16.7-1...5.xlsx" TargetMode="External"/><Relationship Id="rId1" Type="http://schemas.openxmlformats.org/officeDocument/2006/relationships/externalLinkPath" Target="16.%20Non-Ideal%20Data/16.7-1...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\Dropbox\Faber%20Burner%20Shared\All%20Figures%20and%20Tables\15.%20Mixture%20Designs\15.2-3.xlsx" TargetMode="External"/><Relationship Id="rId1" Type="http://schemas.openxmlformats.org/officeDocument/2006/relationships/externalLinkPath" Target="15.%20Mixture%20Designs/15.2-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colannino/Library/CloudStorage/Dropbox/My%20Mac%20(MacBook-Air)/Desktop/XRealStats-Mac.xla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colannino/Library/CloudStorage/Dropbox/My%20Mac%20(MacBook-Air)/Downloads/y%200.8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colannino/Library/CloudStorage/Dropbox/MCSPA/MCSPA%202024/My%20Files/Figures%20and%20Tables/6%20Orthogonality_R1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colannino/Library/CloudStorage/Dropbox/MCSPA/MCSPA%202024/My%20Files/Figures%20and%20Tables/XLSX/6%20Orthogona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CHOL"/>
      <definedName name="DIAG"/>
      <definedName name="eigVECTSym"/>
      <definedName name="MSQRT"/>
      <definedName name="PolyCoeff"/>
      <definedName name="PRESS"/>
      <definedName name="PseudoInv"/>
      <definedName name="VI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16.7-1"/>
      <sheetName val="Fig 16.7-4"/>
      <sheetName val="Fig 16.9-1"/>
      <sheetName val="Mean Plots"/>
    </sheetNames>
    <sheetDataSet>
      <sheetData sheetId="0" refreshError="1"/>
      <sheetData sheetId="1">
        <row r="3">
          <cell r="T3">
            <v>0</v>
          </cell>
          <cell r="Y3" t="e">
            <v>#VALUE!</v>
          </cell>
          <cell r="Z3" t="e">
            <v>#VALUE!</v>
          </cell>
          <cell r="AA3" t="e">
            <v>#VALUE!</v>
          </cell>
          <cell r="AB3" t="e">
            <v>#VALUE!</v>
          </cell>
        </row>
        <row r="4">
          <cell r="T4">
            <v>5</v>
          </cell>
          <cell r="Y4" t="e">
            <v>#VALUE!</v>
          </cell>
          <cell r="Z4" t="e">
            <v>#VALUE!</v>
          </cell>
          <cell r="AA4" t="e">
            <v>#VALUE!</v>
          </cell>
          <cell r="AB4" t="e">
            <v>#VALUE!</v>
          </cell>
        </row>
        <row r="5">
          <cell r="T5">
            <v>10</v>
          </cell>
          <cell r="Y5" t="e">
            <v>#VALUE!</v>
          </cell>
          <cell r="Z5" t="e">
            <v>#VALUE!</v>
          </cell>
          <cell r="AA5" t="e">
            <v>#VALUE!</v>
          </cell>
          <cell r="AB5" t="e">
            <v>#VALUE!</v>
          </cell>
        </row>
        <row r="6">
          <cell r="T6">
            <v>15</v>
          </cell>
          <cell r="Y6" t="e">
            <v>#VALUE!</v>
          </cell>
          <cell r="Z6" t="e">
            <v>#VALUE!</v>
          </cell>
          <cell r="AA6" t="e">
            <v>#VALUE!</v>
          </cell>
          <cell r="AB6" t="e">
            <v>#VALUE!</v>
          </cell>
        </row>
        <row r="7">
          <cell r="T7">
            <v>20</v>
          </cell>
          <cell r="Y7" t="e">
            <v>#VALUE!</v>
          </cell>
          <cell r="Z7" t="e">
            <v>#VALUE!</v>
          </cell>
          <cell r="AA7" t="e">
            <v>#VALUE!</v>
          </cell>
          <cell r="AB7" t="e">
            <v>#VALUE!</v>
          </cell>
        </row>
        <row r="8">
          <cell r="T8">
            <v>25</v>
          </cell>
          <cell r="Y8" t="e">
            <v>#VALUE!</v>
          </cell>
          <cell r="Z8" t="e">
            <v>#VALUE!</v>
          </cell>
          <cell r="AA8" t="e">
            <v>#VALUE!</v>
          </cell>
          <cell r="AB8" t="e">
            <v>#VALUE!</v>
          </cell>
        </row>
        <row r="9">
          <cell r="T9">
            <v>30</v>
          </cell>
          <cell r="Y9" t="e">
            <v>#VALUE!</v>
          </cell>
          <cell r="Z9" t="e">
            <v>#VALUE!</v>
          </cell>
          <cell r="AA9" t="e">
            <v>#VALUE!</v>
          </cell>
          <cell r="AB9" t="e">
            <v>#VALUE!</v>
          </cell>
        </row>
        <row r="10">
          <cell r="T10">
            <v>35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</row>
        <row r="11">
          <cell r="T11">
            <v>40</v>
          </cell>
          <cell r="Y11" t="e">
            <v>#VALUE!</v>
          </cell>
          <cell r="Z11" t="e">
            <v>#VALUE!</v>
          </cell>
          <cell r="AA11" t="e">
            <v>#VALUE!</v>
          </cell>
          <cell r="AB11" t="e">
            <v>#VALUE!</v>
          </cell>
        </row>
        <row r="12">
          <cell r="T12">
            <v>45</v>
          </cell>
          <cell r="Y12" t="e">
            <v>#VALUE!</v>
          </cell>
          <cell r="Z12" t="e">
            <v>#VALUE!</v>
          </cell>
          <cell r="AA12" t="e">
            <v>#VALUE!</v>
          </cell>
          <cell r="AB12" t="e">
            <v>#VALUE!</v>
          </cell>
        </row>
        <row r="13">
          <cell r="T13">
            <v>50</v>
          </cell>
          <cell r="Y13" t="e">
            <v>#VALUE!</v>
          </cell>
          <cell r="Z13" t="e">
            <v>#VALUE!</v>
          </cell>
          <cell r="AA13" t="e">
            <v>#VALUE!</v>
          </cell>
          <cell r="AB13" t="e">
            <v>#VALUE!</v>
          </cell>
        </row>
        <row r="14">
          <cell r="T14">
            <v>55</v>
          </cell>
          <cell r="Y14" t="e">
            <v>#VALUE!</v>
          </cell>
          <cell r="Z14" t="e">
            <v>#VALUE!</v>
          </cell>
          <cell r="AA14" t="e">
            <v>#VALUE!</v>
          </cell>
          <cell r="AB14" t="e">
            <v>#VALUE!</v>
          </cell>
        </row>
        <row r="15">
          <cell r="T15">
            <v>60</v>
          </cell>
          <cell r="Y15" t="e">
            <v>#VALUE!</v>
          </cell>
          <cell r="Z15" t="e">
            <v>#VALUE!</v>
          </cell>
          <cell r="AA15" t="e">
            <v>#VALUE!</v>
          </cell>
          <cell r="AB15" t="e">
            <v>#VALUE!</v>
          </cell>
        </row>
        <row r="16">
          <cell r="T16">
            <v>65</v>
          </cell>
          <cell r="Y16" t="e">
            <v>#VALUE!</v>
          </cell>
          <cell r="Z16" t="e">
            <v>#VALUE!</v>
          </cell>
          <cell r="AA16" t="e">
            <v>#VALUE!</v>
          </cell>
          <cell r="AB16" t="e">
            <v>#VALUE!</v>
          </cell>
        </row>
        <row r="17">
          <cell r="T17">
            <v>70</v>
          </cell>
          <cell r="Y17" t="e">
            <v>#VALUE!</v>
          </cell>
          <cell r="Z17" t="e">
            <v>#VALUE!</v>
          </cell>
          <cell r="AA17" t="e">
            <v>#VALUE!</v>
          </cell>
          <cell r="AB17" t="e">
            <v>#VALUE!</v>
          </cell>
        </row>
        <row r="18">
          <cell r="T18">
            <v>75</v>
          </cell>
          <cell r="Y18" t="e">
            <v>#VALUE!</v>
          </cell>
          <cell r="Z18" t="e">
            <v>#VALUE!</v>
          </cell>
          <cell r="AA18" t="e">
            <v>#VALUE!</v>
          </cell>
          <cell r="AB18" t="e">
            <v>#VALUE!</v>
          </cell>
        </row>
        <row r="19">
          <cell r="T19">
            <v>80</v>
          </cell>
          <cell r="Y19" t="e">
            <v>#VALUE!</v>
          </cell>
          <cell r="Z19" t="e">
            <v>#VALUE!</v>
          </cell>
          <cell r="AA19" t="e">
            <v>#VALUE!</v>
          </cell>
          <cell r="AB19" t="e">
            <v>#VALUE!</v>
          </cell>
        </row>
        <row r="20">
          <cell r="T20">
            <v>85</v>
          </cell>
          <cell r="Y20" t="e">
            <v>#VALUE!</v>
          </cell>
          <cell r="Z20" t="e">
            <v>#VALUE!</v>
          </cell>
          <cell r="AA20" t="e">
            <v>#VALUE!</v>
          </cell>
          <cell r="AB20" t="e">
            <v>#VALUE!</v>
          </cell>
        </row>
        <row r="21">
          <cell r="T21">
            <v>90</v>
          </cell>
          <cell r="Y21" t="e">
            <v>#VALUE!</v>
          </cell>
          <cell r="Z21" t="e">
            <v>#VALUE!</v>
          </cell>
          <cell r="AA21" t="e">
            <v>#VALUE!</v>
          </cell>
          <cell r="AB21" t="e">
            <v>#VALUE!</v>
          </cell>
        </row>
        <row r="22">
          <cell r="T22">
            <v>95</v>
          </cell>
          <cell r="Y22" t="e">
            <v>#VALUE!</v>
          </cell>
          <cell r="Z22" t="e">
            <v>#VALUE!</v>
          </cell>
          <cell r="AA22" t="e">
            <v>#VALUE!</v>
          </cell>
          <cell r="AB22" t="e">
            <v>#VALUE!</v>
          </cell>
        </row>
        <row r="23">
          <cell r="T23">
            <v>100</v>
          </cell>
          <cell r="Y23" t="e">
            <v>#VALUE!</v>
          </cell>
          <cell r="Z23" t="e">
            <v>#VALUE!</v>
          </cell>
          <cell r="AA23" t="e">
            <v>#VALUE!</v>
          </cell>
          <cell r="AB23" t="e">
            <v>#VALUE!</v>
          </cell>
        </row>
        <row r="25">
          <cell r="S25">
            <v>0</v>
          </cell>
          <cell r="T25">
            <v>0</v>
          </cell>
        </row>
        <row r="26">
          <cell r="S26">
            <v>0</v>
          </cell>
          <cell r="T26">
            <v>100</v>
          </cell>
        </row>
        <row r="27">
          <cell r="S27">
            <v>49.707142857142863</v>
          </cell>
        </row>
        <row r="28">
          <cell r="S28">
            <v>49.707142857142863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"/>
      <sheetName val="X"/>
    </sheetNames>
    <sheetDataSet>
      <sheetData sheetId="0">
        <row r="2">
          <cell r="B2" t="e">
            <v>#NAME?</v>
          </cell>
          <cell r="C2" t="e">
            <v>#NAME?</v>
          </cell>
          <cell r="D2" t="e">
            <v>#NAME?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 t="e">
            <v>#NAME?</v>
          </cell>
          <cell r="K2" t="e">
            <v>#NAME?</v>
          </cell>
          <cell r="L2" t="e">
            <v>#NAME?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U2" t="e">
            <v>#NAME?</v>
          </cell>
          <cell r="V2" t="e">
            <v>#NAME?</v>
          </cell>
          <cell r="W2" t="e">
            <v>#NAME?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3">
          <cell r="B3" t="e">
            <v>#NAME?</v>
          </cell>
          <cell r="C3" t="e">
            <v>#NAME?</v>
          </cell>
          <cell r="D3" t="e">
            <v>#NAME?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e">
            <v>#NAME?</v>
          </cell>
          <cell r="K3" t="e">
            <v>#NAME?</v>
          </cell>
          <cell r="L3" t="e">
            <v>#NAME?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U3" t="e">
            <v>#NAME?</v>
          </cell>
          <cell r="V3" t="e">
            <v>#NAME?</v>
          </cell>
          <cell r="W3" t="e">
            <v>#NAME?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B4" t="e">
            <v>#NAME?</v>
          </cell>
          <cell r="C4" t="e">
            <v>#NAME?</v>
          </cell>
          <cell r="D4" t="e">
            <v>#NAME?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e">
            <v>#NAME?</v>
          </cell>
          <cell r="K4" t="e">
            <v>#NAME?</v>
          </cell>
          <cell r="L4" t="e">
            <v>#NAME?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U4" t="e">
            <v>#NAME?</v>
          </cell>
          <cell r="V4" t="e">
            <v>#NAME?</v>
          </cell>
          <cell r="W4" t="e">
            <v>#NAME?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 t="e">
            <v>#NAME?</v>
          </cell>
          <cell r="F5" t="e">
            <v>#NAME?</v>
          </cell>
          <cell r="G5" t="e">
            <v>#NAME?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  <cell r="M5" t="e">
            <v>#NAME?</v>
          </cell>
          <cell r="N5" t="e">
            <v>#NAME?</v>
          </cell>
          <cell r="O5" t="e">
            <v>#NAME?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W5">
            <v>0</v>
          </cell>
          <cell r="X5" t="e">
            <v>#NAME?</v>
          </cell>
          <cell r="Y5" t="e">
            <v>#NAME?</v>
          </cell>
          <cell r="Z5" t="e">
            <v>#NAME?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 t="e">
            <v>#NAME?</v>
          </cell>
          <cell r="F6" t="e">
            <v>#NAME?</v>
          </cell>
          <cell r="G6" t="e">
            <v>#NAME?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 t="e">
            <v>#NAME?</v>
          </cell>
          <cell r="N6" t="e">
            <v>#NAME?</v>
          </cell>
          <cell r="O6" t="e">
            <v>#NAME?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W6">
            <v>0</v>
          </cell>
          <cell r="X6" t="e">
            <v>#NAME?</v>
          </cell>
          <cell r="Y6" t="e">
            <v>#NAME?</v>
          </cell>
          <cell r="Z6" t="e">
            <v>#NAME?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 t="e">
            <v>#NAME?</v>
          </cell>
          <cell r="F7" t="e">
            <v>#NAME?</v>
          </cell>
          <cell r="G7" t="e">
            <v>#NAME?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 t="e">
            <v>#NAME?</v>
          </cell>
          <cell r="N7" t="e">
            <v>#NAME?</v>
          </cell>
          <cell r="O7" t="e">
            <v>#NAME?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 t="e">
            <v>#NAME?</v>
          </cell>
          <cell r="Y7" t="e">
            <v>#NAME?</v>
          </cell>
          <cell r="Z7" t="e">
            <v>#NAME?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26.999999999999996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26.999999999999996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668.9762799665582</v>
          </cell>
          <cell r="AB8">
            <v>0</v>
          </cell>
          <cell r="AC8">
            <v>0</v>
          </cell>
          <cell r="AD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#NAME?</v>
          </cell>
          <cell r="R9" t="e">
            <v>#NAME?</v>
          </cell>
          <cell r="S9" t="e">
            <v>#NAME?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e">
            <v>#NAME?</v>
          </cell>
          <cell r="AC9" t="e">
            <v>#NAME?</v>
          </cell>
          <cell r="AD9" t="e">
            <v>#NAME?</v>
          </cell>
        </row>
        <row r="10">
          <cell r="B10" t="e">
            <v>#NAME?</v>
          </cell>
          <cell r="C10" t="e">
            <v>#NAME?</v>
          </cell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#NAME?</v>
          </cell>
          <cell r="R10" t="e">
            <v>#NAME?</v>
          </cell>
          <cell r="S10" t="e">
            <v>#NAME?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e">
            <v>#NAME?</v>
          </cell>
          <cell r="AC10" t="e">
            <v>#NAME?</v>
          </cell>
          <cell r="AD10" t="e">
            <v>#NAME?</v>
          </cell>
        </row>
        <row r="11">
          <cell r="B11" t="e">
            <v>#NAME?</v>
          </cell>
          <cell r="C11" t="e">
            <v>#NAME?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#NAME?</v>
          </cell>
          <cell r="R11" t="e">
            <v>#NAME?</v>
          </cell>
          <cell r="S11" t="e">
            <v>#NAME?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e">
            <v>#NAME?</v>
          </cell>
          <cell r="AC11" t="e">
            <v>#NAME?</v>
          </cell>
          <cell r="AD11" t="e">
            <v>#NAME?</v>
          </cell>
        </row>
        <row r="12">
          <cell r="B12" t="e">
            <v>#NAME?</v>
          </cell>
          <cell r="C12" t="e">
            <v>#NAME?</v>
          </cell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</row>
        <row r="13">
          <cell r="B13" t="e">
            <v>#NAME?</v>
          </cell>
          <cell r="C13" t="e">
            <v>#NAME?</v>
          </cell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</row>
        <row r="14">
          <cell r="B14" t="e">
            <v>#NAME?</v>
          </cell>
          <cell r="C14" t="e">
            <v>#NAME?</v>
          </cell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U14" t="e">
            <v>#NAME?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Z14" t="e">
            <v>#NAME?</v>
          </cell>
          <cell r="AA14" t="e">
            <v>#NAME?</v>
          </cell>
          <cell r="AB14" t="e">
            <v>#NAME?</v>
          </cell>
          <cell r="AC14" t="e">
            <v>#NAME?</v>
          </cell>
          <cell r="AD14" t="e">
            <v>#NAME?</v>
          </cell>
        </row>
        <row r="15">
          <cell r="B15" t="e">
            <v>#NAME?</v>
          </cell>
          <cell r="C15" t="e">
            <v>#NAME?</v>
          </cell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D15" t="e">
            <v>#NAME?</v>
          </cell>
        </row>
        <row r="16">
          <cell r="B16" t="e">
            <v>#NAME?</v>
          </cell>
          <cell r="C16" t="e">
            <v>#NAME?</v>
          </cell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D16" t="e">
            <v>#NAME?</v>
          </cell>
        </row>
        <row r="17"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D17" t="e">
            <v>#NAME?</v>
          </cell>
        </row>
        <row r="18"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U18" t="e">
            <v>#NAME?</v>
          </cell>
          <cell r="V18" t="e">
            <v>#NAME?</v>
          </cell>
          <cell r="W18" t="e">
            <v>#NAME?</v>
          </cell>
          <cell r="X18" t="e">
            <v>#NAME?</v>
          </cell>
          <cell r="Y18" t="e">
            <v>#NAME?</v>
          </cell>
          <cell r="Z18" t="e">
            <v>#NAME?</v>
          </cell>
          <cell r="AA18" t="e">
            <v>#NAME?</v>
          </cell>
          <cell r="AB18" t="e">
            <v>#NAME?</v>
          </cell>
          <cell r="AC18" t="e">
            <v>#NAME?</v>
          </cell>
          <cell r="AD18" t="e">
            <v>#NAME?</v>
          </cell>
        </row>
        <row r="19"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X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C19" t="e">
            <v>#NAME?</v>
          </cell>
          <cell r="AD19" t="e">
            <v>#NAME?</v>
          </cell>
        </row>
        <row r="20"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#NAME?</v>
          </cell>
        </row>
        <row r="21"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B21" t="e">
            <v>#NAME?</v>
          </cell>
          <cell r="AC21" t="e">
            <v>#NAME?</v>
          </cell>
          <cell r="AD21" t="e">
            <v>#NAME?</v>
          </cell>
        </row>
        <row r="22"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alStats-Mac"/>
    </sheetNames>
    <definedNames>
      <definedName name="DIAG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-statistics.com/free-downlo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D1AB-EBDE-4A2F-9114-C4B053A332BD}">
  <dimension ref="A1:B19"/>
  <sheetViews>
    <sheetView showGridLines="0" tabSelected="1" workbookViewId="0">
      <selection activeCell="A26" sqref="A26"/>
    </sheetView>
  </sheetViews>
  <sheetFormatPr defaultRowHeight="15.75"/>
  <cols>
    <col min="1" max="1" width="41.875" customWidth="1"/>
    <col min="2" max="2" width="36" customWidth="1"/>
  </cols>
  <sheetData>
    <row r="1" spans="1:2">
      <c r="A1" t="s">
        <v>543</v>
      </c>
      <c r="B1" s="1384" t="s">
        <v>542</v>
      </c>
    </row>
    <row r="2" spans="1:2">
      <c r="A2" t="s">
        <v>552</v>
      </c>
    </row>
    <row r="4" spans="1:2">
      <c r="A4" t="s">
        <v>556</v>
      </c>
    </row>
    <row r="5" spans="1:2">
      <c r="A5" t="s">
        <v>545</v>
      </c>
    </row>
    <row r="6" spans="1:2">
      <c r="A6" s="1385" t="s">
        <v>544</v>
      </c>
    </row>
    <row r="7" spans="1:2">
      <c r="A7" s="1385" t="s">
        <v>546</v>
      </c>
    </row>
    <row r="8" spans="1:2">
      <c r="A8" s="1385" t="s">
        <v>550</v>
      </c>
    </row>
    <row r="9" spans="1:2">
      <c r="A9" t="s">
        <v>548</v>
      </c>
      <c r="B9" s="1385" t="s">
        <v>547</v>
      </c>
    </row>
    <row r="10" spans="1:2">
      <c r="A10" t="s">
        <v>549</v>
      </c>
      <c r="B10" s="1385" t="s">
        <v>544</v>
      </c>
    </row>
    <row r="12" spans="1:2">
      <c r="A12" t="s">
        <v>553</v>
      </c>
    </row>
    <row r="13" spans="1:2">
      <c r="A13" s="1385" t="s">
        <v>551</v>
      </c>
    </row>
    <row r="14" spans="1:2">
      <c r="A14" t="s">
        <v>554</v>
      </c>
    </row>
    <row r="15" spans="1:2">
      <c r="A15" t="s">
        <v>555</v>
      </c>
    </row>
    <row r="17" spans="1:1">
      <c r="A17" t="s">
        <v>557</v>
      </c>
    </row>
    <row r="18" spans="1:1">
      <c r="A18" t="s">
        <v>558</v>
      </c>
    </row>
    <row r="19" spans="1:1">
      <c r="A19" t="s">
        <v>559</v>
      </c>
    </row>
  </sheetData>
  <hyperlinks>
    <hyperlink ref="B1" r:id="rId1" xr:uid="{96CC0DA9-41DC-488B-A1BD-E775FB0B8B3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107A-9BF8-4877-A57A-B85F6580050E}">
  <dimension ref="B2:O12"/>
  <sheetViews>
    <sheetView showGridLines="0" zoomScaleNormal="100" workbookViewId="0">
      <selection activeCell="E4" sqref="E4"/>
    </sheetView>
  </sheetViews>
  <sheetFormatPr defaultColWidth="6.875" defaultRowHeight="15.75"/>
  <cols>
    <col min="5" max="5" width="6.875" customWidth="1"/>
  </cols>
  <sheetData>
    <row r="2" spans="2:15">
      <c r="B2" s="1382">
        <v>1</v>
      </c>
      <c r="C2">
        <v>2</v>
      </c>
      <c r="D2" s="1381">
        <v>3</v>
      </c>
    </row>
    <row r="3" spans="2:15">
      <c r="B3" s="1382">
        <v>4</v>
      </c>
      <c r="C3">
        <v>5</v>
      </c>
      <c r="D3" s="1381">
        <v>6</v>
      </c>
      <c r="E3" t="s">
        <v>541</v>
      </c>
    </row>
    <row r="4" spans="2:15">
      <c r="B4" s="1382">
        <v>7</v>
      </c>
      <c r="C4">
        <v>8</v>
      </c>
      <c r="D4" s="1381">
        <v>10</v>
      </c>
      <c r="E4">
        <f>MDETERM(B2:D4)</f>
        <v>-2.9999999999999982</v>
      </c>
    </row>
    <row r="6" spans="2:15">
      <c r="B6" s="1383">
        <f>B2</f>
        <v>1</v>
      </c>
      <c r="C6">
        <f>C2</f>
        <v>2</v>
      </c>
      <c r="D6" s="1381">
        <f>D2</f>
        <v>3</v>
      </c>
      <c r="G6" s="1382">
        <v>1</v>
      </c>
      <c r="H6">
        <v>2</v>
      </c>
      <c r="I6" s="1381">
        <v>3</v>
      </c>
      <c r="L6" s="1382">
        <v>1</v>
      </c>
      <c r="M6">
        <v>2</v>
      </c>
      <c r="N6" s="1381">
        <v>3</v>
      </c>
    </row>
    <row r="7" spans="2:15">
      <c r="B7" s="1383">
        <f>B4</f>
        <v>7</v>
      </c>
      <c r="C7">
        <f>C4</f>
        <v>8</v>
      </c>
      <c r="D7" s="1381">
        <f>D4</f>
        <v>10</v>
      </c>
      <c r="E7" t="s">
        <v>541</v>
      </c>
      <c r="G7" s="1382">
        <v>4</v>
      </c>
      <c r="H7">
        <v>5</v>
      </c>
      <c r="I7" s="1381">
        <v>6</v>
      </c>
      <c r="J7" t="s">
        <v>541</v>
      </c>
      <c r="L7" s="1382">
        <v>4</v>
      </c>
      <c r="M7">
        <v>5</v>
      </c>
      <c r="N7" s="1381">
        <v>6</v>
      </c>
      <c r="O7" t="s">
        <v>541</v>
      </c>
    </row>
    <row r="8" spans="2:15">
      <c r="B8" s="1383">
        <f>B3</f>
        <v>4</v>
      </c>
      <c r="C8">
        <f>C3</f>
        <v>5</v>
      </c>
      <c r="D8" s="1381">
        <f>D3</f>
        <v>6</v>
      </c>
      <c r="E8">
        <f>MDETERM(B6:D8)</f>
        <v>2.9999999999999982</v>
      </c>
      <c r="G8" s="1382">
        <v>11</v>
      </c>
      <c r="H8">
        <v>13</v>
      </c>
      <c r="I8" s="1381">
        <v>16</v>
      </c>
      <c r="J8">
        <f>MDETERM(G6:I8)</f>
        <v>-2.9999999999999973</v>
      </c>
      <c r="L8" s="1382">
        <v>14</v>
      </c>
      <c r="M8">
        <v>16</v>
      </c>
      <c r="N8" s="1381">
        <v>20</v>
      </c>
      <c r="O8">
        <f>MDETERM(L6:N8)</f>
        <v>-5.9999999999999964</v>
      </c>
    </row>
    <row r="10" spans="2:15">
      <c r="B10" s="1382">
        <v>2</v>
      </c>
      <c r="C10">
        <v>1</v>
      </c>
      <c r="D10" s="1381">
        <v>3</v>
      </c>
      <c r="G10" s="1382">
        <v>1</v>
      </c>
      <c r="H10">
        <v>2</v>
      </c>
      <c r="I10" s="1381">
        <v>5</v>
      </c>
      <c r="L10" s="1382">
        <f>B2</f>
        <v>1</v>
      </c>
      <c r="M10">
        <f>C2</f>
        <v>2</v>
      </c>
      <c r="N10" s="1381">
        <f>D2*2</f>
        <v>6</v>
      </c>
    </row>
    <row r="11" spans="2:15">
      <c r="B11" s="1382">
        <v>5</v>
      </c>
      <c r="C11">
        <v>4</v>
      </c>
      <c r="D11" s="1381">
        <v>6</v>
      </c>
      <c r="E11" t="s">
        <v>541</v>
      </c>
      <c r="G11" s="1382">
        <v>4</v>
      </c>
      <c r="H11">
        <v>5</v>
      </c>
      <c r="I11" s="1381">
        <v>11</v>
      </c>
      <c r="J11" t="s">
        <v>541</v>
      </c>
      <c r="L11" s="1382">
        <f>B3</f>
        <v>4</v>
      </c>
      <c r="M11">
        <f>C3</f>
        <v>5</v>
      </c>
      <c r="N11" s="1381">
        <f>D3*2</f>
        <v>12</v>
      </c>
      <c r="O11" t="s">
        <v>541</v>
      </c>
    </row>
    <row r="12" spans="2:15">
      <c r="B12" s="1382">
        <v>8</v>
      </c>
      <c r="C12">
        <v>7</v>
      </c>
      <c r="D12" s="1381">
        <v>10</v>
      </c>
      <c r="E12">
        <f>MDETERM(B10:D12)</f>
        <v>3</v>
      </c>
      <c r="G12" s="1382">
        <v>7</v>
      </c>
      <c r="H12">
        <v>8</v>
      </c>
      <c r="I12" s="1381">
        <v>18</v>
      </c>
      <c r="J12">
        <f>MDETERM(G10:I12)</f>
        <v>-2.9999999999999973</v>
      </c>
      <c r="L12" s="1382">
        <f>B4</f>
        <v>7</v>
      </c>
      <c r="M12">
        <f>C4</f>
        <v>8</v>
      </c>
      <c r="N12" s="1381">
        <f>D4*2</f>
        <v>20</v>
      </c>
      <c r="O12">
        <f>MDETERM(L10:N12)</f>
        <v>-5.9999999999999964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8D85-9830-4810-9C53-707874666EF4}">
  <dimension ref="A1:L21"/>
  <sheetViews>
    <sheetView zoomScaleNormal="100" workbookViewId="0">
      <selection activeCell="E16" sqref="E16"/>
    </sheetView>
  </sheetViews>
  <sheetFormatPr defaultColWidth="6.875" defaultRowHeight="15.75"/>
  <cols>
    <col min="1" max="1" width="6.875" style="1"/>
    <col min="2" max="2" width="6.875" style="1" customWidth="1"/>
    <col min="3" max="8" width="6.875" style="1"/>
    <col min="9" max="9" width="7.125" style="1" bestFit="1" customWidth="1"/>
    <col min="10" max="16384" width="6.875" style="1"/>
  </cols>
  <sheetData>
    <row r="1" spans="1:12">
      <c r="A1" s="652" t="s">
        <v>540</v>
      </c>
      <c r="B1" s="809"/>
      <c r="C1" s="809"/>
      <c r="D1" s="808"/>
      <c r="G1" s="652" t="s">
        <v>14</v>
      </c>
      <c r="H1" s="809"/>
      <c r="I1" s="809"/>
      <c r="J1" s="808"/>
    </row>
    <row r="2" spans="1:12" ht="17.25">
      <c r="A2" s="518" t="s">
        <v>10</v>
      </c>
      <c r="B2" s="129" t="s">
        <v>444</v>
      </c>
      <c r="C2" s="795" t="s">
        <v>443</v>
      </c>
      <c r="D2" s="518" t="s">
        <v>219</v>
      </c>
      <c r="E2" s="1380" t="s">
        <v>539</v>
      </c>
      <c r="F2" s="472" t="s">
        <v>538</v>
      </c>
      <c r="G2" s="2">
        <v>0</v>
      </c>
      <c r="H2" s="807" t="s">
        <v>537</v>
      </c>
      <c r="I2" s="807" t="s">
        <v>536</v>
      </c>
      <c r="J2" s="796" t="s">
        <v>535</v>
      </c>
      <c r="K2" s="652" t="s">
        <v>221</v>
      </c>
      <c r="L2" s="808"/>
    </row>
    <row r="3" spans="1:12" ht="18.75">
      <c r="A3" s="118">
        <v>1</v>
      </c>
      <c r="B3" s="81">
        <v>0.1</v>
      </c>
      <c r="C3" s="80">
        <v>0.1</v>
      </c>
      <c r="D3" s="852">
        <v>-2.9699999999999998</v>
      </c>
      <c r="E3" s="849">
        <f t="array" ref="E3:E13">MMULT(G3:J13,L3:L6)</f>
        <v>-2.0983971178745078</v>
      </c>
      <c r="F3" s="852">
        <f>D3-E3</f>
        <v>-0.87160288212549197</v>
      </c>
      <c r="G3" s="87">
        <v>1</v>
      </c>
      <c r="H3" s="938">
        <f>SIN(B3)</f>
        <v>9.9833416646828155E-2</v>
      </c>
      <c r="I3" s="938">
        <f>LN(C3)</f>
        <v>-2.3025850929940455</v>
      </c>
      <c r="J3" s="767">
        <f>SQRT(B3*C3)</f>
        <v>0.1</v>
      </c>
      <c r="K3" s="1379" t="s">
        <v>534</v>
      </c>
      <c r="L3" s="124">
        <f t="array" ref="L3:L6">MMULT([1]!PseudoInv(X),y)</f>
        <v>-0.84941585645946571</v>
      </c>
    </row>
    <row r="4" spans="1:12" ht="18.75">
      <c r="A4" s="450">
        <v>2</v>
      </c>
      <c r="B4" s="455">
        <v>0.1</v>
      </c>
      <c r="C4" s="90">
        <v>0.1</v>
      </c>
      <c r="D4" s="855">
        <v>-3</v>
      </c>
      <c r="E4" s="1191">
        <v>-2.0983971178745078</v>
      </c>
      <c r="F4" s="855">
        <f>D4-E4</f>
        <v>-0.90160288212549222</v>
      </c>
      <c r="G4" s="89">
        <v>1</v>
      </c>
      <c r="H4" s="933">
        <f>SIN(B4)</f>
        <v>9.9833416646828155E-2</v>
      </c>
      <c r="I4" s="933">
        <f>LN(C4)</f>
        <v>-2.3025850929940455</v>
      </c>
      <c r="J4" s="776">
        <f>SQRT(B4*C4)</f>
        <v>0.1</v>
      </c>
      <c r="K4" s="1378" t="s">
        <v>533</v>
      </c>
      <c r="L4" s="37">
        <v>6.9103085209360522</v>
      </c>
    </row>
    <row r="5" spans="1:12" ht="18.75">
      <c r="A5" s="92">
        <v>3</v>
      </c>
      <c r="B5" s="106">
        <v>0.1</v>
      </c>
      <c r="C5" s="77">
        <v>0.1</v>
      </c>
      <c r="D5" s="851">
        <v>-0.99</v>
      </c>
      <c r="E5" s="520">
        <v>-2.0983971178745078</v>
      </c>
      <c r="F5" s="851">
        <f>D5-E5</f>
        <v>1.1083971178745078</v>
      </c>
      <c r="G5" s="75">
        <v>1</v>
      </c>
      <c r="H5" s="1182">
        <f>SIN(B5)</f>
        <v>9.9833416646828155E-2</v>
      </c>
      <c r="I5" s="1182">
        <f>LN(C5)</f>
        <v>-2.3025850929940455</v>
      </c>
      <c r="J5" s="763">
        <f>SQRT(B5*C5)</f>
        <v>0.1</v>
      </c>
      <c r="K5" s="1378" t="s">
        <v>532</v>
      </c>
      <c r="L5" s="37">
        <v>0.6963119802973563</v>
      </c>
    </row>
    <row r="6" spans="1:12" ht="18.75">
      <c r="A6" s="450">
        <v>4</v>
      </c>
      <c r="B6" s="455">
        <v>0.1</v>
      </c>
      <c r="C6" s="90">
        <v>0.6</v>
      </c>
      <c r="D6" s="855">
        <v>-1.17</v>
      </c>
      <c r="E6" s="1191">
        <v>-1.3371402288008922</v>
      </c>
      <c r="F6" s="855">
        <f>D6-E6</f>
        <v>0.1671402288008923</v>
      </c>
      <c r="G6" s="89">
        <v>1</v>
      </c>
      <c r="H6" s="933">
        <f>SIN(B6)</f>
        <v>9.9833416646828155E-2</v>
      </c>
      <c r="I6" s="933">
        <f>LN(C6)</f>
        <v>-0.51082562376599072</v>
      </c>
      <c r="J6" s="776">
        <f>SQRT(B6*C6)</f>
        <v>0.2449489742783178</v>
      </c>
      <c r="K6" s="1377" t="s">
        <v>531</v>
      </c>
      <c r="L6" s="66">
        <v>-3.355433852379214</v>
      </c>
    </row>
    <row r="7" spans="1:12">
      <c r="A7" s="92">
        <v>5</v>
      </c>
      <c r="B7" s="106">
        <v>0.1</v>
      </c>
      <c r="C7" s="77">
        <v>1.1000000000000001</v>
      </c>
      <c r="D7" s="851">
        <v>-1.59</v>
      </c>
      <c r="E7" s="520">
        <v>-1.2060420364085458</v>
      </c>
      <c r="F7" s="851">
        <f>D7-E7</f>
        <v>-0.38395796359145429</v>
      </c>
      <c r="G7" s="75">
        <v>1</v>
      </c>
      <c r="H7" s="1182">
        <f>SIN(B7)</f>
        <v>9.9833416646828155E-2</v>
      </c>
      <c r="I7" s="1182">
        <f>LN(C7)</f>
        <v>9.5310179804324935E-2</v>
      </c>
      <c r="J7" s="763">
        <f>SQRT(B7*C7)</f>
        <v>0.33166247903554003</v>
      </c>
    </row>
    <row r="8" spans="1:12">
      <c r="A8" s="118">
        <v>6</v>
      </c>
      <c r="B8" s="81">
        <v>0.6</v>
      </c>
      <c r="C8" s="80">
        <v>0.1</v>
      </c>
      <c r="D8" s="852">
        <v>1.59</v>
      </c>
      <c r="E8" s="1191">
        <v>0.62721017241976629</v>
      </c>
      <c r="F8" s="852">
        <f>D8-E8</f>
        <v>0.96278982758023379</v>
      </c>
      <c r="G8" s="89">
        <v>1</v>
      </c>
      <c r="H8" s="933">
        <f>SIN(B8)</f>
        <v>0.56464247339503537</v>
      </c>
      <c r="I8" s="933">
        <f>LN(C8)</f>
        <v>-2.3025850929940455</v>
      </c>
      <c r="J8" s="776">
        <f>SQRT(B8*C8)</f>
        <v>0.2449489742783178</v>
      </c>
    </row>
    <row r="9" spans="1:12">
      <c r="A9" s="450">
        <v>7</v>
      </c>
      <c r="B9" s="455">
        <v>0.6</v>
      </c>
      <c r="C9" s="90">
        <v>0.6</v>
      </c>
      <c r="D9" s="855">
        <v>-0.27</v>
      </c>
      <c r="E9" s="1191">
        <v>0.68348352562599768</v>
      </c>
      <c r="F9" s="855">
        <f>D9-E9</f>
        <v>-0.9534835256259977</v>
      </c>
      <c r="G9" s="89">
        <v>1</v>
      </c>
      <c r="H9" s="933">
        <f>SIN(B9)</f>
        <v>0.56464247339503537</v>
      </c>
      <c r="I9" s="933">
        <f>LN(C9)</f>
        <v>-0.51082562376599072</v>
      </c>
      <c r="J9" s="776">
        <f>SQRT(B9*C9)</f>
        <v>0.6</v>
      </c>
    </row>
    <row r="10" spans="1:12">
      <c r="A10" s="92">
        <v>8</v>
      </c>
      <c r="B10" s="106">
        <v>0.6</v>
      </c>
      <c r="C10" s="77">
        <v>1.1000000000000001</v>
      </c>
      <c r="D10" s="851">
        <v>2.52</v>
      </c>
      <c r="E10" s="520">
        <v>0.39283611067226909</v>
      </c>
      <c r="F10" s="851">
        <f>D10-E10</f>
        <v>2.1271638893277309</v>
      </c>
      <c r="G10" s="89">
        <v>1</v>
      </c>
      <c r="H10" s="933">
        <f>SIN(B10)</f>
        <v>0.56464247339503537</v>
      </c>
      <c r="I10" s="933">
        <f>LN(C10)</f>
        <v>9.5310179804324935E-2</v>
      </c>
      <c r="J10" s="776">
        <f>SQRT(B10*C10)</f>
        <v>0.81240384046359604</v>
      </c>
    </row>
    <row r="11" spans="1:12">
      <c r="A11" s="118">
        <v>9</v>
      </c>
      <c r="B11" s="81">
        <v>1.1000000000000001</v>
      </c>
      <c r="C11" s="80">
        <v>0.1</v>
      </c>
      <c r="D11" s="852">
        <v>2.67</v>
      </c>
      <c r="E11" s="849">
        <v>2.5929128620682782</v>
      </c>
      <c r="F11" s="852">
        <f>D11-E11</f>
        <v>7.7087137931721728E-2</v>
      </c>
      <c r="G11" s="87">
        <v>1</v>
      </c>
      <c r="H11" s="938">
        <f>SIN(B11)</f>
        <v>0.89120736006143542</v>
      </c>
      <c r="I11" s="938">
        <f>LN(C11)</f>
        <v>-2.3025850929940455</v>
      </c>
      <c r="J11" s="767">
        <f>SQRT(B11*C11)</f>
        <v>0.33166247903554003</v>
      </c>
    </row>
    <row r="12" spans="1:12">
      <c r="A12" s="450">
        <v>10</v>
      </c>
      <c r="B12" s="455">
        <v>1.1000000000000001</v>
      </c>
      <c r="C12" s="90">
        <v>0.6</v>
      </c>
      <c r="D12" s="855">
        <v>1.53</v>
      </c>
      <c r="E12" s="1191">
        <v>2.2274406079284339</v>
      </c>
      <c r="F12" s="855">
        <f>D12-E12</f>
        <v>-0.69744060792843388</v>
      </c>
      <c r="G12" s="89">
        <v>1</v>
      </c>
      <c r="H12" s="933">
        <f>SIN(B12)</f>
        <v>0.89120736006143542</v>
      </c>
      <c r="I12" s="933">
        <f>LN(C12)</f>
        <v>-0.51082562376599072</v>
      </c>
      <c r="J12" s="776">
        <f>SQRT(B12*C12)</f>
        <v>0.81240384046359604</v>
      </c>
    </row>
    <row r="13" spans="1:12">
      <c r="A13" s="92">
        <v>11</v>
      </c>
      <c r="B13" s="106">
        <v>1.1000000000000001</v>
      </c>
      <c r="C13" s="77">
        <v>1.1000000000000001</v>
      </c>
      <c r="D13" s="851">
        <v>1.0499999999999998</v>
      </c>
      <c r="E13" s="520">
        <v>1.6844903401189071</v>
      </c>
      <c r="F13" s="851">
        <f>D13-E13</f>
        <v>-0.63449034011890726</v>
      </c>
      <c r="G13" s="75">
        <v>1</v>
      </c>
      <c r="H13" s="1182">
        <f>SIN(B13)</f>
        <v>0.89120736006143542</v>
      </c>
      <c r="I13" s="1182">
        <f>LN(C13)</f>
        <v>9.5310179804324935E-2</v>
      </c>
      <c r="J13" s="763">
        <f>SQRT(B13*C13)</f>
        <v>1.1000000000000001</v>
      </c>
    </row>
    <row r="21" spans="5:5">
      <c r="E21" s="1376"/>
    </row>
  </sheetData>
  <mergeCells count="3">
    <mergeCell ref="A1:D1"/>
    <mergeCell ref="G1:J1"/>
    <mergeCell ref="K2:L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FB1-BBCF-4A91-A81C-1E510D4ACED2}">
  <dimension ref="A1:AP104"/>
  <sheetViews>
    <sheetView zoomScaleNormal="100" workbookViewId="0">
      <pane ySplit="2" topLeftCell="A21" activePane="bottomLeft" state="frozen"/>
      <selection activeCell="AA1" sqref="AA1"/>
      <selection pane="bottomLeft" activeCell="AA41" sqref="AA41"/>
    </sheetView>
  </sheetViews>
  <sheetFormatPr defaultColWidth="6.875" defaultRowHeight="15" customHeight="1"/>
  <cols>
    <col min="1" max="1" width="6.875" style="1289"/>
    <col min="2" max="2" width="6.875" style="1291"/>
    <col min="3" max="4" width="6.875" style="1292"/>
    <col min="5" max="5" width="6.875" style="1291"/>
    <col min="6" max="7" width="6.875" style="1289" customWidth="1"/>
    <col min="8" max="15" width="6.875" style="1289" hidden="1" customWidth="1"/>
    <col min="16" max="17" width="6.875" style="1289" customWidth="1"/>
    <col min="18" max="25" width="6.875" style="1289" hidden="1" customWidth="1"/>
    <col min="26" max="26" width="6.875" style="1289"/>
    <col min="27" max="27" width="6.875" style="1289" customWidth="1"/>
    <col min="28" max="28" width="6.875" style="1290" customWidth="1"/>
    <col min="29" max="40" width="6.875" style="1289" customWidth="1"/>
    <col min="41" max="41" width="6.875" style="1289"/>
    <col min="42" max="42" width="6.875" style="1289" customWidth="1"/>
    <col min="43" max="16384" width="6.875" style="1289"/>
  </cols>
  <sheetData>
    <row r="1" spans="1:42" ht="15" customHeight="1">
      <c r="A1" s="662" t="s">
        <v>84</v>
      </c>
      <c r="B1" s="1097"/>
      <c r="C1" s="1097"/>
      <c r="D1" s="663"/>
      <c r="F1" s="662" t="s">
        <v>530</v>
      </c>
      <c r="G1" s="1097"/>
      <c r="H1" s="1097"/>
      <c r="I1" s="1097"/>
      <c r="J1" s="1097"/>
      <c r="K1" s="1097"/>
      <c r="L1" s="1097"/>
      <c r="M1" s="1097"/>
      <c r="N1" s="1097"/>
      <c r="O1" s="663"/>
      <c r="P1" s="1374" t="s">
        <v>529</v>
      </c>
      <c r="Q1" s="1097"/>
      <c r="R1" s="1097"/>
      <c r="S1" s="1097"/>
      <c r="T1" s="1097"/>
      <c r="U1" s="1097"/>
      <c r="V1" s="1097"/>
      <c r="W1" s="1097"/>
      <c r="X1" s="1097"/>
      <c r="Y1" s="663"/>
      <c r="Z1" s="662" t="s">
        <v>528</v>
      </c>
      <c r="AA1" s="1373"/>
      <c r="AB1" s="1373"/>
      <c r="AC1" s="1373"/>
      <c r="AD1" s="1373"/>
      <c r="AE1" s="1373"/>
      <c r="AF1" s="1373"/>
      <c r="AG1" s="1373"/>
      <c r="AH1" s="1373"/>
      <c r="AI1" s="1373"/>
      <c r="AJ1" s="1372"/>
    </row>
    <row r="2" spans="1:42" s="1327" customFormat="1" ht="15" customHeight="1">
      <c r="A2" s="18" t="s">
        <v>79</v>
      </c>
      <c r="B2" s="1371" t="s">
        <v>315</v>
      </c>
      <c r="C2" s="1370" t="s">
        <v>527</v>
      </c>
      <c r="D2" s="1369" t="s">
        <v>219</v>
      </c>
      <c r="E2" s="1368" t="s">
        <v>48</v>
      </c>
      <c r="F2" s="25" t="s">
        <v>515</v>
      </c>
      <c r="G2" s="19" t="s">
        <v>526</v>
      </c>
      <c r="H2" s="19" t="s">
        <v>505</v>
      </c>
      <c r="I2" s="19" t="s">
        <v>504</v>
      </c>
      <c r="J2" s="19" t="s">
        <v>503</v>
      </c>
      <c r="K2" s="19" t="s">
        <v>502</v>
      </c>
      <c r="L2" s="19" t="s">
        <v>525</v>
      </c>
      <c r="M2" s="19" t="s">
        <v>524</v>
      </c>
      <c r="N2" s="19" t="s">
        <v>523</v>
      </c>
      <c r="O2" s="20" t="s">
        <v>522</v>
      </c>
      <c r="P2" s="1362" t="s">
        <v>521</v>
      </c>
      <c r="Q2" s="1361" t="s">
        <v>520</v>
      </c>
      <c r="R2" s="1361" t="s">
        <v>501</v>
      </c>
      <c r="S2" s="1361" t="s">
        <v>500</v>
      </c>
      <c r="T2" s="1361" t="s">
        <v>499</v>
      </c>
      <c r="U2" s="1361" t="s">
        <v>498</v>
      </c>
      <c r="V2" s="1361" t="s">
        <v>519</v>
      </c>
      <c r="W2" s="1361" t="s">
        <v>518</v>
      </c>
      <c r="X2" s="1361" t="s">
        <v>517</v>
      </c>
      <c r="Y2" s="1367" t="s">
        <v>516</v>
      </c>
      <c r="Z2" s="1363"/>
      <c r="AA2" s="1364" t="s">
        <v>515</v>
      </c>
      <c r="AB2" s="1366" t="s">
        <v>514</v>
      </c>
      <c r="AC2" s="1363" t="s">
        <v>513</v>
      </c>
      <c r="AD2" s="1363" t="s">
        <v>512</v>
      </c>
      <c r="AE2" s="1363" t="s">
        <v>511</v>
      </c>
      <c r="AF2" s="1363" t="s">
        <v>510</v>
      </c>
      <c r="AG2" s="1363" t="s">
        <v>509</v>
      </c>
      <c r="AH2" s="1363" t="s">
        <v>508</v>
      </c>
      <c r="AI2" s="1363" t="s">
        <v>507</v>
      </c>
      <c r="AJ2" s="1365" t="s">
        <v>506</v>
      </c>
      <c r="AO2" s="19"/>
    </row>
    <row r="3" spans="1:42" ht="15" customHeight="1">
      <c r="A3" s="1354">
        <v>1</v>
      </c>
      <c r="B3" s="1307">
        <v>-3</v>
      </c>
      <c r="C3" s="1292">
        <f>(B3-B$103)/B$104*E$104</f>
        <v>-4</v>
      </c>
      <c r="D3" s="1306">
        <v>0.65</v>
      </c>
      <c r="E3" s="1360">
        <f t="array" ref="E3:E102">MMULT(H,a)</f>
        <v>0.46497850100868598</v>
      </c>
      <c r="F3" s="1359">
        <f>EXP(-(C3^2)/2)</f>
        <v>3.3546262790251185E-4</v>
      </c>
      <c r="G3" s="1322">
        <f>$F3*$C3</f>
        <v>-1.3418505116100474E-3</v>
      </c>
      <c r="H3" s="1322">
        <f>$F3*$C3^2</f>
        <v>5.3674020464401897E-3</v>
      </c>
      <c r="I3" s="1322">
        <f>$F3*$C3^3</f>
        <v>-2.1469608185760759E-2</v>
      </c>
      <c r="J3" s="1322">
        <f>$F3*$C3^4</f>
        <v>8.5878432743043034E-2</v>
      </c>
      <c r="K3" s="1322">
        <f>$F3*$C3^5</f>
        <v>-0.34351373097217214</v>
      </c>
      <c r="L3" s="1322">
        <f>$F3*$C3^6</f>
        <v>1.3740549238886886</v>
      </c>
      <c r="M3" s="1322">
        <f>$F3*$C3^7</f>
        <v>-5.4962196955547542</v>
      </c>
      <c r="N3" s="1322">
        <f>$F3*$C3^8</f>
        <v>21.984878782219017</v>
      </c>
      <c r="O3" s="1322">
        <f>$F3*$C3^9</f>
        <v>-87.939515128876067</v>
      </c>
      <c r="P3" s="1358">
        <f t="array" ref="P3:Y102">MMULT(wX,LT_INV)</f>
        <v>7.1628206197260654E-5</v>
      </c>
      <c r="Q3" s="1322">
        <v>-4.0519039652176224E-4</v>
      </c>
      <c r="R3" s="1322">
        <v>1.5701173470709709E-3</v>
      </c>
      <c r="S3" s="1322">
        <v>-4.7972836169881145E-3</v>
      </c>
      <c r="T3" s="1322">
        <v>1.2211463038325878E-2</v>
      </c>
      <c r="U3" s="1322">
        <v>-2.6629780417718501E-2</v>
      </c>
      <c r="V3" s="1322">
        <v>5.0561608023619906E-2</v>
      </c>
      <c r="W3" s="1322">
        <v>-8.4556531339683313E-2</v>
      </c>
      <c r="X3" s="1322">
        <v>0.12599479805528196</v>
      </c>
      <c r="Y3" s="1328">
        <v>-0.16964641833932348</v>
      </c>
      <c r="Z3" s="1334">
        <v>0</v>
      </c>
      <c r="AA3" s="1359">
        <f t="array" ref="AA3:AJ12">MMULT(TRANSPOSE(wX),wX)</f>
        <v>21.934116167277935</v>
      </c>
      <c r="AB3" s="1322">
        <v>9.1153821195685955E-16</v>
      </c>
      <c r="AC3" s="1322">
        <v>10.967054082573366</v>
      </c>
      <c r="AD3" s="1322">
        <v>2.7141205678326424E-15</v>
      </c>
      <c r="AE3" s="1322">
        <v>16.45051567192386</v>
      </c>
      <c r="AF3" s="1322">
        <v>2.3373338854659753E-14</v>
      </c>
      <c r="AG3" s="1322">
        <v>41.125218616128315</v>
      </c>
      <c r="AH3" s="1322">
        <v>7.889869313437714E-14</v>
      </c>
      <c r="AI3" s="1322">
        <v>143.9207567931999</v>
      </c>
      <c r="AJ3" s="1328">
        <v>5.647426970512015E-13</v>
      </c>
      <c r="AM3"/>
      <c r="AN3"/>
      <c r="AO3" s="1292"/>
    </row>
    <row r="4" spans="1:42" ht="15" customHeight="1">
      <c r="A4" s="1308">
        <v>2</v>
      </c>
      <c r="B4" s="1307">
        <f>B3+0.1</f>
        <v>-2.9</v>
      </c>
      <c r="C4" s="1292">
        <f>(B4-B$103)/B$104*E$104</f>
        <v>-3.9191919191919187</v>
      </c>
      <c r="D4" s="1306">
        <v>0.5</v>
      </c>
      <c r="E4" s="1305">
        <v>0.4961316384115988</v>
      </c>
      <c r="F4" s="1304">
        <f>EXP(-(C4^2)/2)</f>
        <v>4.6195981567234701E-4</v>
      </c>
      <c r="G4" s="1289">
        <f>$F4*$C4</f>
        <v>-1.8105091765744507E-3</v>
      </c>
      <c r="H4" s="1289">
        <f>$F4*$C4^2</f>
        <v>7.0957329344534014E-3</v>
      </c>
      <c r="I4" s="1289">
        <f>$F4*$C4^3</f>
        <v>-2.7809539177453733E-2</v>
      </c>
      <c r="J4" s="1289">
        <f>$F4*$C4^4</f>
        <v>0.10899092122072775</v>
      </c>
      <c r="K4" s="1289">
        <f>$F4*$C4^5</f>
        <v>-0.42715633771355921</v>
      </c>
      <c r="L4" s="1289">
        <f>$F4*$C4^6</f>
        <v>1.6741076669985953</v>
      </c>
      <c r="M4" s="1289">
        <f>$F4*$C4^7</f>
        <v>-6.5611492403581311</v>
      </c>
      <c r="N4" s="1289">
        <f>$F4*$C4^8</f>
        <v>25.714403083423786</v>
      </c>
      <c r="O4" s="1289">
        <f>$F4*$C4^9</f>
        <v>-100.77968077139825</v>
      </c>
      <c r="P4" s="1303">
        <v>9.8637970908145993E-5</v>
      </c>
      <c r="Q4" s="1375">
        <v>-5.4670838876250767E-4</v>
      </c>
      <c r="R4" s="1375">
        <v>2.0729135305752131E-3</v>
      </c>
      <c r="S4" s="1375">
        <v>-6.1871304318468889E-3</v>
      </c>
      <c r="T4" s="1375">
        <v>1.5354211824904799E-2</v>
      </c>
      <c r="U4" s="1375">
        <v>-3.25587836959573E-2</v>
      </c>
      <c r="V4" s="1375">
        <v>5.9905788867104293E-2</v>
      </c>
      <c r="W4" s="1375">
        <v>-9.6624033868740716E-2</v>
      </c>
      <c r="X4" s="1375">
        <v>0.13793174362028976</v>
      </c>
      <c r="Y4" s="1302">
        <v>-0.17621770821852056</v>
      </c>
      <c r="Z4" s="1357">
        <v>1</v>
      </c>
      <c r="AA4" s="1304">
        <v>9.1153821195685955E-16</v>
      </c>
      <c r="AB4" s="1289">
        <v>10.967054082573364</v>
      </c>
      <c r="AC4" s="1289">
        <v>2.4343981013972768E-15</v>
      </c>
      <c r="AD4" s="1289">
        <v>16.45051567192386</v>
      </c>
      <c r="AE4" s="1289">
        <v>2.2762607770898668E-14</v>
      </c>
      <c r="AF4" s="1289">
        <v>41.125218616128322</v>
      </c>
      <c r="AG4" s="1289">
        <v>8.1674684376809026E-14</v>
      </c>
      <c r="AH4" s="1289">
        <v>143.9207567931999</v>
      </c>
      <c r="AI4" s="1289">
        <v>5.3608506522806465E-13</v>
      </c>
      <c r="AJ4" s="1302">
        <v>647.35710547802432</v>
      </c>
      <c r="AM4"/>
      <c r="AN4"/>
      <c r="AO4" s="1292"/>
    </row>
    <row r="5" spans="1:42" ht="15" customHeight="1">
      <c r="A5" s="1308">
        <v>3</v>
      </c>
      <c r="B5" s="1307">
        <f>B4+0.1</f>
        <v>-2.8</v>
      </c>
      <c r="C5" s="1292">
        <f>(B5-B$103)/B$104*E$104</f>
        <v>-3.8383838383838382</v>
      </c>
      <c r="D5" s="1306">
        <v>0.84000000000000008</v>
      </c>
      <c r="E5" s="1305">
        <v>0.52171701654462399</v>
      </c>
      <c r="F5" s="1304">
        <f>EXP(-(C5^2)/2)</f>
        <v>6.3201638066275273E-4</v>
      </c>
      <c r="G5" s="1289">
        <f>$F5*$C5</f>
        <v>-2.4259214611297578E-3</v>
      </c>
      <c r="H5" s="1289">
        <f>$F5*$C5^2</f>
        <v>9.3116177295889703E-3</v>
      </c>
      <c r="I5" s="1289">
        <f>$F5*$C5^3</f>
        <v>-3.5741563002462708E-2</v>
      </c>
      <c r="J5" s="1289">
        <f>$F5*$C5^4</f>
        <v>0.1371898377872306</v>
      </c>
      <c r="K5" s="1289">
        <f>$F5*$C5^5</f>
        <v>-0.52658725615300628</v>
      </c>
      <c r="L5" s="1289">
        <f>$F5*$C5^6</f>
        <v>2.0212440135165899</v>
      </c>
      <c r="M5" s="1289">
        <f>$F5*$C5^7</f>
        <v>-7.7583103549121626</v>
      </c>
      <c r="N5" s="1289">
        <f>$F5*$C5^8</f>
        <v>29.779373079460825</v>
      </c>
      <c r="O5" s="1289">
        <f>$F5*$C5^9</f>
        <v>-114.30466434540519</v>
      </c>
      <c r="P5" s="1303">
        <v>1.3494856317434624E-4</v>
      </c>
      <c r="Q5" s="1375">
        <v>-7.3254067443500302E-4</v>
      </c>
      <c r="R5" s="1375">
        <v>2.7163571169244072E-3</v>
      </c>
      <c r="S5" s="1375">
        <v>-7.915248868449784E-3</v>
      </c>
      <c r="T5" s="1375">
        <v>1.9134573613138268E-2</v>
      </c>
      <c r="U5" s="1375">
        <v>-3.9412860454946984E-2</v>
      </c>
      <c r="V5" s="1375">
        <v>7.016893407428379E-2</v>
      </c>
      <c r="W5" s="1375">
        <v>-0.10891939459684145</v>
      </c>
      <c r="X5" s="1375">
        <v>0.14844052156085003</v>
      </c>
      <c r="Y5" s="1302">
        <v>-0.17886704183650515</v>
      </c>
      <c r="Z5" s="1357">
        <v>2</v>
      </c>
      <c r="AA5" s="1304">
        <v>10.967054082573366</v>
      </c>
      <c r="AB5" s="1289">
        <v>2.4343981013972768E-15</v>
      </c>
      <c r="AC5" s="1289">
        <v>16.45051567192386</v>
      </c>
      <c r="AD5" s="1289">
        <v>2.3133838594757705E-14</v>
      </c>
      <c r="AE5" s="1289">
        <v>41.125218616128315</v>
      </c>
      <c r="AF5" s="1289">
        <v>8.8379390611459385E-14</v>
      </c>
      <c r="AG5" s="1289">
        <v>143.9207567931999</v>
      </c>
      <c r="AH5" s="1289">
        <v>5.8295729354895798E-13</v>
      </c>
      <c r="AI5" s="1289">
        <v>647.35710547802432</v>
      </c>
      <c r="AJ5" s="1302">
        <v>3.1191715876843773E-12</v>
      </c>
      <c r="AM5"/>
      <c r="AN5"/>
      <c r="AO5" s="1292"/>
    </row>
    <row r="6" spans="1:42" ht="15" customHeight="1">
      <c r="A6" s="1308">
        <v>4</v>
      </c>
      <c r="B6" s="1307">
        <f>B5+0.1</f>
        <v>-2.6999999999999997</v>
      </c>
      <c r="C6" s="1292">
        <f>(B6-B$103)/B$104*E$104</f>
        <v>-3.7575757575757573</v>
      </c>
      <c r="D6" s="1306">
        <v>0.88000000000000012</v>
      </c>
      <c r="E6" s="1305">
        <v>0.54108080039024098</v>
      </c>
      <c r="F6" s="1304">
        <f>EXP(-(C6^2)/2)</f>
        <v>8.5904625755320622E-4</v>
      </c>
      <c r="G6" s="1289">
        <f>$F6*$C6</f>
        <v>-3.2279313920181079E-3</v>
      </c>
      <c r="H6" s="1289">
        <f>$F6*$C6^2</f>
        <v>1.2129196745765011E-2</v>
      </c>
      <c r="I6" s="1289">
        <f>$F6*$C6^3</f>
        <v>-4.557637565075337E-2</v>
      </c>
      <c r="J6" s="1289">
        <f>$F6*$C6^4</f>
        <v>0.1712566842634369</v>
      </c>
      <c r="K6" s="1289">
        <f>$F6*$C6^5</f>
        <v>-0.64350996511109615</v>
      </c>
      <c r="L6" s="1289">
        <f>$F6*$C6^6</f>
        <v>2.418037444659876</v>
      </c>
      <c r="M6" s="1289">
        <f>$F6*$C6^7</f>
        <v>-9.0859588829643823</v>
      </c>
      <c r="N6" s="1289">
        <f>$F6*$C6^8</f>
        <v>34.141178832957074</v>
      </c>
      <c r="O6" s="1289">
        <f>$F6*$C6^9</f>
        <v>-128.28806591777808</v>
      </c>
      <c r="P6" s="1303">
        <v>1.8342413536104053E-4</v>
      </c>
      <c r="Q6" s="1375">
        <v>-9.7471871073584384E-4</v>
      </c>
      <c r="R6" s="1375">
        <v>3.5328891916510175E-3</v>
      </c>
      <c r="S6" s="1375">
        <v>-1.004350833888009E-2</v>
      </c>
      <c r="T6" s="1375">
        <v>2.3630870932614956E-2</v>
      </c>
      <c r="U6" s="1375">
        <v>-4.7225090417621608E-2</v>
      </c>
      <c r="V6" s="1375">
        <v>8.1221395017128273E-2</v>
      </c>
      <c r="W6" s="1375">
        <v>-0.12102767774029519</v>
      </c>
      <c r="X6" s="1375">
        <v>0.15681346865287654</v>
      </c>
      <c r="Y6" s="1302">
        <v>-0.17684195584360418</v>
      </c>
      <c r="Z6" s="1357">
        <v>3</v>
      </c>
      <c r="AA6" s="1304">
        <v>2.7141205678326424E-15</v>
      </c>
      <c r="AB6" s="1289">
        <v>16.45051567192386</v>
      </c>
      <c r="AC6" s="1289">
        <v>2.3133838594757705E-14</v>
      </c>
      <c r="AD6" s="1289">
        <v>41.125218616128322</v>
      </c>
      <c r="AE6" s="1289">
        <v>8.7782212054854369E-14</v>
      </c>
      <c r="AF6" s="1289">
        <v>143.9207567931999</v>
      </c>
      <c r="AG6" s="1289">
        <v>5.1186138660952452E-13</v>
      </c>
      <c r="AH6" s="1289">
        <v>647.35710547802432</v>
      </c>
      <c r="AI6" s="1289">
        <v>2.7700064464397656E-12</v>
      </c>
      <c r="AJ6" s="1302">
        <v>3555.7830634345055</v>
      </c>
      <c r="AM6"/>
      <c r="AN6"/>
      <c r="AO6" s="1292"/>
    </row>
    <row r="7" spans="1:42" ht="15" customHeight="1">
      <c r="A7" s="1308">
        <v>5</v>
      </c>
      <c r="B7" s="1307">
        <f>B6+0.1</f>
        <v>-2.5999999999999996</v>
      </c>
      <c r="C7" s="1292">
        <f>(B7-B$103)/B$104*E$104</f>
        <v>-3.6767676767676765</v>
      </c>
      <c r="D7" s="1306">
        <v>0.24</v>
      </c>
      <c r="E7" s="1305">
        <v>0.55431339399363333</v>
      </c>
      <c r="F7" s="1304">
        <f>EXP(-(C7^2)/2)</f>
        <v>1.160028999668893E-3</v>
      </c>
      <c r="G7" s="1289">
        <f>$F7*$C7</f>
        <v>-4.2651571300957279E-3</v>
      </c>
      <c r="H7" s="1289">
        <f>$F7*$C7^2</f>
        <v>1.5681991872271157E-2</v>
      </c>
      <c r="I7" s="1289">
        <f>$F7*$C7^3</f>
        <v>-5.7659040823300013E-2</v>
      </c>
      <c r="J7" s="1289">
        <f>$F7*$C7^4</f>
        <v>0.21199889757253743</v>
      </c>
      <c r="K7" s="1289">
        <f>$F7*$C7^5</f>
        <v>-0.77947069410508696</v>
      </c>
      <c r="L7" s="1289">
        <f>$F7*$C7^6</f>
        <v>2.8659326530732492</v>
      </c>
      <c r="M7" s="1289">
        <f>$F7*$C7^7</f>
        <v>-10.537368542612752</v>
      </c>
      <c r="N7" s="1289">
        <f>$F7*$C7^8</f>
        <v>38.743456055667089</v>
      </c>
      <c r="O7" s="1289">
        <f>$F7*$C7^9</f>
        <v>-142.45068691174566</v>
      </c>
      <c r="P7" s="1303">
        <v>2.476901731275872E-4</v>
      </c>
      <c r="Q7" s="1375">
        <v>-1.287923426505494E-3</v>
      </c>
      <c r="R7" s="1375">
        <v>4.560265047662878E-3</v>
      </c>
      <c r="S7" s="1375">
        <v>-1.2639006950692375E-2</v>
      </c>
      <c r="T7" s="1375">
        <v>2.8916276242451817E-2</v>
      </c>
      <c r="U7" s="1375">
        <v>-5.5995857077314672E-2</v>
      </c>
      <c r="V7" s="1375">
        <v>9.2862359326074104E-2</v>
      </c>
      <c r="W7" s="1375">
        <v>-0.13244558606629497</v>
      </c>
      <c r="X7" s="1375">
        <v>0.16231243901544234</v>
      </c>
      <c r="Y7" s="1302">
        <v>-0.1695339653145207</v>
      </c>
      <c r="Z7" s="1357">
        <v>4</v>
      </c>
      <c r="AA7" s="1304">
        <v>16.45051567192386</v>
      </c>
      <c r="AB7" s="1289">
        <v>2.2762607770898668E-14</v>
      </c>
      <c r="AC7" s="1289">
        <v>41.125218616128315</v>
      </c>
      <c r="AD7" s="1289">
        <v>8.7782212054854369E-14</v>
      </c>
      <c r="AE7" s="1289">
        <v>143.9207567931999</v>
      </c>
      <c r="AF7" s="1289">
        <v>5.6295940131789735E-13</v>
      </c>
      <c r="AG7" s="1289">
        <v>647.35710547802432</v>
      </c>
      <c r="AH7" s="1289">
        <v>2.985833802426896E-12</v>
      </c>
      <c r="AI7" s="1289">
        <v>3555.783063434505</v>
      </c>
      <c r="AJ7" s="1302">
        <v>1.8141932400794758E-11</v>
      </c>
      <c r="AM7"/>
      <c r="AN7"/>
      <c r="AO7" s="1292"/>
    </row>
    <row r="8" spans="1:42" ht="15" customHeight="1">
      <c r="A8" s="1308">
        <v>6</v>
      </c>
      <c r="B8" s="1307">
        <f>B7+0.1</f>
        <v>-2.4999999999999996</v>
      </c>
      <c r="C8" s="1292">
        <f>(B8-B$103)/B$104*E$104</f>
        <v>-3.5959595959595951</v>
      </c>
      <c r="D8" s="1306">
        <v>0.39</v>
      </c>
      <c r="E8" s="1305">
        <v>0.56253799994732678</v>
      </c>
      <c r="F8" s="1304">
        <f>EXP(-(C8^2)/2)</f>
        <v>1.5562709937429313E-3</v>
      </c>
      <c r="G8" s="1289">
        <f>$F8*$C8</f>
        <v>-5.5962876138634689E-3</v>
      </c>
      <c r="H8" s="1289">
        <f>$F8*$C8^2</f>
        <v>2.0124024146822166E-2</v>
      </c>
      <c r="I8" s="1289">
        <f>$F8*$C8^3</f>
        <v>-7.2365177740087772E-2</v>
      </c>
      <c r="J8" s="1289">
        <f>$F8*$C8^4</f>
        <v>0.26022225530779036</v>
      </c>
      <c r="K8" s="1289">
        <f>$F8*$C8^5</f>
        <v>-0.93574871605629628</v>
      </c>
      <c r="L8" s="1289">
        <f>$F8*$C8^6</f>
        <v>3.3649145749095095</v>
      </c>
      <c r="M8" s="1289">
        <f>$F8*$C8^7</f>
        <v>-12.100096855230154</v>
      </c>
      <c r="N8" s="1289">
        <f>$F8*$C8^8</f>
        <v>43.511459398605389</v>
      </c>
      <c r="O8" s="1289">
        <f>$F8*$C8^9</f>
        <v>-156.46544995862135</v>
      </c>
      <c r="P8" s="1303">
        <v>3.3229603051612608E-4</v>
      </c>
      <c r="Q8" s="1375">
        <v>-1.6898767617490736E-3</v>
      </c>
      <c r="R8" s="1375">
        <v>5.8417767229480807E-3</v>
      </c>
      <c r="S8" s="1375">
        <v>-1.5772652022626479E-2</v>
      </c>
      <c r="T8" s="1375">
        <v>3.5053514966058914E-2</v>
      </c>
      <c r="U8" s="1375">
        <v>-6.5683376727160403E-2</v>
      </c>
      <c r="V8" s="1375">
        <v>0.10481261717159621</v>
      </c>
      <c r="W8" s="1375">
        <v>-0.14259178298148065</v>
      </c>
      <c r="X8" s="1375">
        <v>0.16421317213238629</v>
      </c>
      <c r="Y8" s="1302">
        <v>-0.15655437398119321</v>
      </c>
      <c r="Z8" s="1357">
        <v>5</v>
      </c>
      <c r="AA8" s="1304">
        <v>2.3373338854659753E-14</v>
      </c>
      <c r="AB8" s="1289">
        <v>41.125218616128322</v>
      </c>
      <c r="AC8" s="1289">
        <v>8.8379390611459385E-14</v>
      </c>
      <c r="AD8" s="1289">
        <v>143.9207567931999</v>
      </c>
      <c r="AE8" s="1289">
        <v>5.6295940131789735E-13</v>
      </c>
      <c r="AF8" s="1289">
        <v>647.35710547802432</v>
      </c>
      <c r="AG8" s="1289">
        <v>2.9514168886635161E-12</v>
      </c>
      <c r="AH8" s="1289">
        <v>3555.7830634345055</v>
      </c>
      <c r="AI8" s="1289">
        <v>1.7148948927570018E-11</v>
      </c>
      <c r="AJ8" s="1302">
        <v>23036.065229774842</v>
      </c>
      <c r="AM8"/>
      <c r="AN8"/>
      <c r="AO8" s="1292"/>
    </row>
    <row r="9" spans="1:42" ht="15" customHeight="1">
      <c r="A9" s="1308">
        <v>7</v>
      </c>
      <c r="B9" s="1307">
        <f>B8+0.1</f>
        <v>-2.3999999999999995</v>
      </c>
      <c r="C9" s="1292">
        <f>(B9-B$103)/B$104*E$104</f>
        <v>-3.5151515151515142</v>
      </c>
      <c r="D9" s="1306">
        <v>0.83000000000000007</v>
      </c>
      <c r="E9" s="1305">
        <v>0.56820082492766644</v>
      </c>
      <c r="F9" s="1304">
        <f>EXP(-(C9^2)/2)</f>
        <v>2.0742718817600928E-3</v>
      </c>
      <c r="G9" s="1289">
        <f>$F9*$C9</f>
        <v>-7.2913799480051732E-3</v>
      </c>
      <c r="H9" s="1289">
        <f>$F9*$C9^2</f>
        <v>2.5630305271775754E-2</v>
      </c>
      <c r="I9" s="1289">
        <f>$F9*$C9^3</f>
        <v>-9.0094406409878383E-2</v>
      </c>
      <c r="J9" s="1289">
        <f>$F9*$C9^4</f>
        <v>0.31669548919836032</v>
      </c>
      <c r="K9" s="1289">
        <f>$F9*$C9^5</f>
        <v>-1.1132326286972665</v>
      </c>
      <c r="L9" s="1289">
        <f>$F9*$C9^6</f>
        <v>3.9131813614812985</v>
      </c>
      <c r="M9" s="1289">
        <f>$F9*$C9^7</f>
        <v>-13.755425391873654</v>
      </c>
      <c r="N9" s="1289">
        <f>$F9*$C9^8</f>
        <v>48.352404407798282</v>
      </c>
      <c r="O9" s="1289">
        <f>$F9*$C9^9</f>
        <v>-169.9660276152909</v>
      </c>
      <c r="P9" s="1303">
        <v>4.4289992892706419E-4</v>
      </c>
      <c r="Q9" s="1375">
        <v>-2.2017334321226081E-3</v>
      </c>
      <c r="R9" s="1375">
        <v>7.4262706067674475E-3</v>
      </c>
      <c r="S9" s="1375">
        <v>-1.9517064123850368E-2</v>
      </c>
      <c r="T9" s="1375">
        <v>4.20885510092514E-2</v>
      </c>
      <c r="U9" s="1375">
        <v>-7.6194194564152357E-2</v>
      </c>
      <c r="V9" s="1375">
        <v>0.11671085370832737</v>
      </c>
      <c r="W9" s="1375">
        <v>-0.15082584807872834</v>
      </c>
      <c r="X9" s="1375">
        <v>0.16185935135832774</v>
      </c>
      <c r="Y9" s="1302">
        <v>-0.13780797712855675</v>
      </c>
      <c r="Z9" s="1357">
        <v>6</v>
      </c>
      <c r="AA9" s="1304">
        <v>41.125218616128315</v>
      </c>
      <c r="AB9" s="1289">
        <v>8.1674684376809026E-14</v>
      </c>
      <c r="AC9" s="1289">
        <v>143.9207567931999</v>
      </c>
      <c r="AD9" s="1289">
        <v>5.1186138660952452E-13</v>
      </c>
      <c r="AE9" s="1289">
        <v>647.35710547802432</v>
      </c>
      <c r="AF9" s="1289">
        <v>2.9514168886635161E-12</v>
      </c>
      <c r="AG9" s="1289">
        <v>3555.7830634345055</v>
      </c>
      <c r="AH9" s="1289">
        <v>1.8101076193488552E-11</v>
      </c>
      <c r="AI9" s="1289">
        <v>23036.065229774846</v>
      </c>
      <c r="AJ9" s="1302">
        <v>1.3716316971112974E-10</v>
      </c>
      <c r="AM9" s="1323"/>
      <c r="AO9" s="1292"/>
    </row>
    <row r="10" spans="1:42" ht="15" customHeight="1">
      <c r="A10" s="1308">
        <v>8</v>
      </c>
      <c r="B10" s="1307">
        <f>B9+0.1</f>
        <v>-2.2999999999999994</v>
      </c>
      <c r="C10" s="1292">
        <f>(B10-B$103)/B$104*E$104</f>
        <v>-3.4343434343434338</v>
      </c>
      <c r="D10" s="1306">
        <v>0.95</v>
      </c>
      <c r="E10" s="1305">
        <v>0.57533549289189401</v>
      </c>
      <c r="F10" s="1304">
        <f>EXP(-(C10^2)/2)</f>
        <v>2.7466936149496335E-3</v>
      </c>
      <c r="G10" s="1289">
        <f>$F10*$C10</f>
        <v>-9.4330891826553045E-3</v>
      </c>
      <c r="H10" s="1289">
        <f>$F10*$C10^2</f>
        <v>3.2396467900028321E-2</v>
      </c>
      <c r="I10" s="1289">
        <f>$F10*$C10^3</f>
        <v>-0.11126059682838006</v>
      </c>
      <c r="J10" s="1289">
        <f>$F10*$C10^4</f>
        <v>0.382107100218679</v>
      </c>
      <c r="K10" s="1289">
        <f>$F10*$C10^5</f>
        <v>-1.3122870108520286</v>
      </c>
      <c r="L10" s="1289">
        <f>$F10*$C10^6</f>
        <v>4.5068442796938353</v>
      </c>
      <c r="M10" s="1289">
        <f>$F10*$C10^7</f>
        <v>-15.478051061574785</v>
      </c>
      <c r="N10" s="1289">
        <f>$F10*$C10^8</f>
        <v>53.156943039751781</v>
      </c>
      <c r="O10" s="1289">
        <f>$F10*$C10^9</f>
        <v>-182.55919831833941</v>
      </c>
      <c r="P10" s="1303">
        <v>5.8647587018014792E-4</v>
      </c>
      <c r="Q10" s="1375">
        <v>-2.8484522778610749E-3</v>
      </c>
      <c r="R10" s="1375">
        <v>9.3678894889983409E-3</v>
      </c>
      <c r="S10" s="1375">
        <v>-2.3943718093501702E-2</v>
      </c>
      <c r="T10" s="1375">
        <v>5.0043376358463447E-2</v>
      </c>
      <c r="U10" s="1375">
        <v>-8.7374354108997548E-2</v>
      </c>
      <c r="V10" s="1375">
        <v>0.12811477303021956</v>
      </c>
      <c r="W10" s="1375">
        <v>-0.15647655317373854</v>
      </c>
      <c r="X10" s="1375">
        <v>0.15472381150827463</v>
      </c>
      <c r="Y10" s="1302">
        <v>-0.11355689475218345</v>
      </c>
      <c r="Z10" s="1357">
        <v>7</v>
      </c>
      <c r="AA10" s="1304">
        <v>7.889869313437714E-14</v>
      </c>
      <c r="AB10" s="1289">
        <v>143.9207567931999</v>
      </c>
      <c r="AC10" s="1289">
        <v>5.8295729354895798E-13</v>
      </c>
      <c r="AD10" s="1289">
        <v>647.35710547802432</v>
      </c>
      <c r="AE10" s="1289">
        <v>2.985833802426896E-12</v>
      </c>
      <c r="AF10" s="1289">
        <v>3555.7830634345055</v>
      </c>
      <c r="AG10" s="1289">
        <v>1.8101076193488552E-11</v>
      </c>
      <c r="AH10" s="1289">
        <v>23036.065229774849</v>
      </c>
      <c r="AI10" s="1289">
        <v>1.3173462320992257E-10</v>
      </c>
      <c r="AJ10" s="1302">
        <v>171519.63870339916</v>
      </c>
      <c r="AM10"/>
      <c r="AN10"/>
      <c r="AO10" s="1292"/>
    </row>
    <row r="11" spans="1:42" ht="15" customHeight="1">
      <c r="A11" s="1308">
        <v>9</v>
      </c>
      <c r="B11" s="1307">
        <f>B10+0.1</f>
        <v>-2.1999999999999993</v>
      </c>
      <c r="C11" s="1292">
        <f>(B11-B$103)/B$104*E$104</f>
        <v>-3.3535353535353525</v>
      </c>
      <c r="D11" s="1306">
        <v>0.32999999999999996</v>
      </c>
      <c r="E11" s="1305">
        <v>0.58976875962262199</v>
      </c>
      <c r="F11" s="1304">
        <f>EXP(-(C11^2)/2)</f>
        <v>3.6134232628503363E-3</v>
      </c>
      <c r="G11" s="1289">
        <f>$F11*$C11</f>
        <v>-1.211774265925567E-2</v>
      </c>
      <c r="H11" s="1289">
        <f>$F11*$C11^2</f>
        <v>4.0637278412857386E-2</v>
      </c>
      <c r="I11" s="1289">
        <f>$F11*$C11^3</f>
        <v>-0.13627854982897622</v>
      </c>
      <c r="J11" s="1289">
        <f>$F11*$C11^4</f>
        <v>0.45701493478000094</v>
      </c>
      <c r="K11" s="1289">
        <f>$F11*$C11^5</f>
        <v>-1.5326157408783865</v>
      </c>
      <c r="L11" s="1289">
        <f>$F11*$C11^6</f>
        <v>5.1396810704204459</v>
      </c>
      <c r="M11" s="1289">
        <f>$F11*$C11^7</f>
        <v>-17.236102175551391</v>
      </c>
      <c r="N11" s="1289">
        <f>$F11*$C11^8</f>
        <v>57.801878002859191</v>
      </c>
      <c r="O11" s="1289">
        <f>$F11*$C11^9</f>
        <v>-193.8406413833257</v>
      </c>
      <c r="P11" s="1303">
        <v>7.7154056822168458E-4</v>
      </c>
      <c r="Q11" s="1375">
        <v>-3.659120677429488E-3</v>
      </c>
      <c r="R11" s="1375">
        <v>1.1725463006067721E-2</v>
      </c>
      <c r="S11" s="1375">
        <v>-2.9119261732884091E-2</v>
      </c>
      <c r="T11" s="1375">
        <v>5.8908135216717894E-2</v>
      </c>
      <c r="U11" s="1375">
        <v>-9.9002103159941457E-2</v>
      </c>
      <c r="V11" s="1375">
        <v>0.13850829981527546</v>
      </c>
      <c r="W11" s="1375">
        <v>-0.15887943550139216</v>
      </c>
      <c r="X11" s="1375">
        <v>0.14247295552298034</v>
      </c>
      <c r="Y11" s="1302">
        <v>-8.4465939928100697E-2</v>
      </c>
      <c r="Z11" s="1357">
        <v>8</v>
      </c>
      <c r="AA11" s="1304">
        <v>143.9207567931999</v>
      </c>
      <c r="AB11" s="1289">
        <v>5.3608506522806465E-13</v>
      </c>
      <c r="AC11" s="1289">
        <v>647.35710547802432</v>
      </c>
      <c r="AD11" s="1289">
        <v>2.7700064464397656E-12</v>
      </c>
      <c r="AE11" s="1289">
        <v>3555.783063434505</v>
      </c>
      <c r="AF11" s="1289">
        <v>1.7148948927570018E-11</v>
      </c>
      <c r="AG11" s="1289">
        <v>23036.065229774846</v>
      </c>
      <c r="AH11" s="1289">
        <v>1.3173462320992257E-10</v>
      </c>
      <c r="AI11" s="1289">
        <v>171519.63870339916</v>
      </c>
      <c r="AJ11" s="1302">
        <v>1.0968506103381515E-9</v>
      </c>
      <c r="AM11"/>
      <c r="AN11"/>
      <c r="AO11" s="1292"/>
    </row>
    <row r="12" spans="1:42" ht="15" customHeight="1">
      <c r="A12" s="1308">
        <v>10</v>
      </c>
      <c r="B12" s="1307">
        <f>B11+0.1</f>
        <v>-2.0999999999999992</v>
      </c>
      <c r="C12" s="1292">
        <f>(B12-B$103)/B$104*E$104</f>
        <v>-3.2727272727272712</v>
      </c>
      <c r="D12" s="1306">
        <v>0.52</v>
      </c>
      <c r="E12" s="1305">
        <v>0.61923122499473693</v>
      </c>
      <c r="F12" s="1304">
        <f>EXP(-(C12^2)/2)</f>
        <v>4.7227127900757275E-3</v>
      </c>
      <c r="G12" s="1289">
        <f>$F12*$C12</f>
        <v>-1.5456150949338738E-2</v>
      </c>
      <c r="H12" s="1289">
        <f>$F12*$C12^2</f>
        <v>5.0583766743290383E-2</v>
      </c>
      <c r="I12" s="1289">
        <f>$F12*$C12^3</f>
        <v>-0.16554687297804119</v>
      </c>
      <c r="J12" s="1289">
        <f>$F12*$C12^4</f>
        <v>0.54178976610995266</v>
      </c>
      <c r="K12" s="1289">
        <f>$F12*$C12^5</f>
        <v>-1.7731301436325715</v>
      </c>
      <c r="L12" s="1289">
        <f>$F12*$C12^6</f>
        <v>5.8029713791611401</v>
      </c>
      <c r="M12" s="1289">
        <f>$F12*$C12^7</f>
        <v>-18.991542695436451</v>
      </c>
      <c r="N12" s="1289">
        <f>$F12*$C12^8</f>
        <v>62.154139730519262</v>
      </c>
      <c r="O12" s="1289">
        <f>$F12*$C12^9</f>
        <v>-203.41354820897203</v>
      </c>
      <c r="P12" s="1303">
        <v>1.0083968150269335E-3</v>
      </c>
      <c r="Q12" s="1375">
        <v>-4.6671994217501976E-3</v>
      </c>
      <c r="R12" s="1375">
        <v>1.4561468862606173E-2</v>
      </c>
      <c r="S12" s="1375">
        <v>-3.5100993765057611E-2</v>
      </c>
      <c r="T12" s="1375">
        <v>6.8632936288400975E-2</v>
      </c>
      <c r="U12" s="1375">
        <v>-0.11078312373203576</v>
      </c>
      <c r="V12" s="1375">
        <v>0.14731590429513572</v>
      </c>
      <c r="W12" s="1375">
        <v>-0.15742273792348674</v>
      </c>
      <c r="X12" s="1375">
        <v>0.12502911109216097</v>
      </c>
      <c r="Y12" s="1302">
        <v>-5.1620906811330025E-2</v>
      </c>
      <c r="Z12" s="1356">
        <v>9</v>
      </c>
      <c r="AA12" s="1297">
        <v>5.647426970512015E-13</v>
      </c>
      <c r="AB12" s="1295">
        <v>647.35710547802432</v>
      </c>
      <c r="AC12" s="1295">
        <v>3.1191715876843773E-12</v>
      </c>
      <c r="AD12" s="1295">
        <v>3555.7830634345055</v>
      </c>
      <c r="AE12" s="1295">
        <v>1.8141932400794758E-11</v>
      </c>
      <c r="AF12" s="1295">
        <v>23036.065229774842</v>
      </c>
      <c r="AG12" s="1355">
        <v>1.3716316971112974E-10</v>
      </c>
      <c r="AH12" s="1355">
        <v>171519.63870339916</v>
      </c>
      <c r="AI12" s="1355">
        <v>1.0968506103381515E-9</v>
      </c>
      <c r="AJ12" s="904">
        <v>1437473.5953671024</v>
      </c>
      <c r="AM12"/>
      <c r="AN12"/>
      <c r="AO12" s="1292"/>
    </row>
    <row r="13" spans="1:42" ht="15" customHeight="1">
      <c r="A13" s="1308">
        <v>11</v>
      </c>
      <c r="B13" s="1307">
        <f>B12+0.1</f>
        <v>-1.9999999999999991</v>
      </c>
      <c r="C13" s="1292">
        <f>(B13-B$103)/B$104*E$104</f>
        <v>-3.1919191919191907</v>
      </c>
      <c r="D13" s="1306">
        <v>0.64</v>
      </c>
      <c r="E13" s="1305">
        <v>0.67333640285628471</v>
      </c>
      <c r="F13" s="1304">
        <f>EXP(-(C13^2)/2)</f>
        <v>6.1323694892821499E-3</v>
      </c>
      <c r="G13" s="1289">
        <f>$F13*$C13</f>
        <v>-1.9574027864779381E-2</v>
      </c>
      <c r="H13" s="1289">
        <f>$F13*$C13^2</f>
        <v>6.2478715204750325E-2</v>
      </c>
      <c r="I13" s="1289">
        <f>$F13*$C13^3</f>
        <v>-0.1994270101484959</v>
      </c>
      <c r="J13" s="1289">
        <f>$F13*$C13^4</f>
        <v>0.63655490108004742</v>
      </c>
      <c r="K13" s="1289">
        <f>$F13*$C13^5</f>
        <v>-2.031831805467625</v>
      </c>
      <c r="L13" s="1289">
        <f>$F13*$C13^6</f>
        <v>6.4854429346239337</v>
      </c>
      <c r="M13" s="1289">
        <f>$F13*$C13^7</f>
        <v>-20.701009771122848</v>
      </c>
      <c r="N13" s="1289">
        <f>$F13*$C13^8</f>
        <v>66.075950380553721</v>
      </c>
      <c r="O13" s="1289">
        <f>$F13*$C13^9</f>
        <v>-210.90909414398956</v>
      </c>
      <c r="P13" s="1303">
        <v>1.3093876626490374E-3</v>
      </c>
      <c r="Q13" s="1375">
        <v>-5.9106495421311512E-3</v>
      </c>
      <c r="R13" s="1375">
        <v>1.7940490882331663E-2</v>
      </c>
      <c r="S13" s="1375">
        <v>-4.1931538024924477E-2</v>
      </c>
      <c r="T13" s="1375">
        <v>7.911983704899922E-2</v>
      </c>
      <c r="U13" s="1375">
        <v>-0.12234934230386181</v>
      </c>
      <c r="V13" s="1375">
        <v>0.15392473436783294</v>
      </c>
      <c r="W13" s="1375">
        <v>-0.1515997312733279</v>
      </c>
      <c r="X13" s="1375">
        <v>0.10262447893118565</v>
      </c>
      <c r="Y13" s="1302">
        <v>-1.6512166713305243E-2</v>
      </c>
      <c r="Z13" s="662" t="s">
        <v>497</v>
      </c>
      <c r="AA13" s="1349"/>
      <c r="AB13" s="1349"/>
      <c r="AC13" s="1349"/>
      <c r="AD13" s="1349"/>
      <c r="AE13" s="1349"/>
      <c r="AF13" s="1349"/>
      <c r="AG13" s="1349"/>
      <c r="AH13" s="1349"/>
      <c r="AI13" s="1349"/>
      <c r="AJ13" s="1348"/>
      <c r="AM13"/>
      <c r="AN13"/>
      <c r="AO13" s="1292"/>
    </row>
    <row r="14" spans="1:42" ht="15" customHeight="1">
      <c r="A14" s="1308">
        <v>12</v>
      </c>
      <c r="B14" s="1307">
        <f>B13+0.1</f>
        <v>-1.899999999999999</v>
      </c>
      <c r="C14" s="1292">
        <f>(B14-B$103)/B$104*E$104</f>
        <v>-3.1111111111111098</v>
      </c>
      <c r="D14" s="1306">
        <v>0.84000000000000008</v>
      </c>
      <c r="E14" s="1305">
        <v>0.76339511079561329</v>
      </c>
      <c r="F14" s="1304">
        <f>EXP(-(C14^2)/2)</f>
        <v>7.9109597339302815E-3</v>
      </c>
      <c r="G14" s="1289">
        <f>$F14*$C14</f>
        <v>-2.461187472778309E-2</v>
      </c>
      <c r="H14" s="1289">
        <f>$F14*$C14^2</f>
        <v>7.6570276930880685E-2</v>
      </c>
      <c r="I14" s="1289">
        <f>$F14*$C14^3</f>
        <v>-0.23821863934051757</v>
      </c>
      <c r="J14" s="1289">
        <f>$F14*$C14^4</f>
        <v>0.74112465572605435</v>
      </c>
      <c r="K14" s="1289">
        <f>$F14*$C14^5</f>
        <v>-2.3057211511477234</v>
      </c>
      <c r="L14" s="1289">
        <f>$F14*$C14^6</f>
        <v>7.173354692459581</v>
      </c>
      <c r="M14" s="1289">
        <f>$F14*$C14^7</f>
        <v>-22.317103487652023</v>
      </c>
      <c r="N14" s="1289">
        <f>$F14*$C14^8</f>
        <v>69.430988628250702</v>
      </c>
      <c r="O14" s="1289">
        <f>$F14*$C14^9</f>
        <v>-216.00752017677988</v>
      </c>
      <c r="P14" s="1303">
        <v>1.6891534493192247E-3</v>
      </c>
      <c r="Q14" s="1375">
        <v>-7.4318973639816849E-3</v>
      </c>
      <c r="R14" s="1375">
        <v>2.1927110256367212E-2</v>
      </c>
      <c r="S14" s="1375">
        <v>-4.9632820340990737E-2</v>
      </c>
      <c r="T14" s="1375">
        <v>9.0215610920013317E-2</v>
      </c>
      <c r="U14" s="1375">
        <v>-0.13326236676931238</v>
      </c>
      <c r="V14" s="1375">
        <v>0.1577147086077027</v>
      </c>
      <c r="W14" s="1375">
        <v>-0.14106431196254746</v>
      </c>
      <c r="X14" s="1375">
        <v>7.5839692438992579E-2</v>
      </c>
      <c r="Y14" s="1302">
        <v>1.9021883246969962E-2</v>
      </c>
      <c r="Z14" s="1354">
        <v>0</v>
      </c>
      <c r="AA14" s="1322">
        <f t="array" ref="AA14:AJ23">TRANSPOSE(MINVERSE([1]!CHOL(AA3:AJ12)))</f>
        <v>0.21352067336075198</v>
      </c>
      <c r="AB14" s="1322">
        <v>-1.254901814647786E-17</v>
      </c>
      <c r="AC14" s="1322">
        <v>-0.15098232528102079</v>
      </c>
      <c r="AD14" s="1322">
        <v>1.9629097390470684E-16</v>
      </c>
      <c r="AE14" s="1322">
        <v>0.13077668318045058</v>
      </c>
      <c r="AF14" s="1322">
        <v>-8.8047078559375159E-16</v>
      </c>
      <c r="AG14" s="1322">
        <v>-0.1197327453186955</v>
      </c>
      <c r="AH14" s="1322">
        <v>4.3646571260847018E-15</v>
      </c>
      <c r="AI14" s="1322">
        <v>0.11393138330610388</v>
      </c>
      <c r="AJ14" s="1328">
        <v>-1.0056995556899963E-14</v>
      </c>
      <c r="AM14"/>
      <c r="AN14"/>
      <c r="AO14" s="1292"/>
    </row>
    <row r="15" spans="1:42" ht="15" customHeight="1">
      <c r="A15" s="1308">
        <v>13</v>
      </c>
      <c r="B15" s="1307">
        <f>B14+0.1</f>
        <v>-1.7999999999999989</v>
      </c>
      <c r="C15" s="1292">
        <f>(B15-B$103)/B$104*E$104</f>
        <v>-3.0303030303030289</v>
      </c>
      <c r="D15" s="1306">
        <v>1.01</v>
      </c>
      <c r="E15" s="1305">
        <v>0.90204029953373399</v>
      </c>
      <c r="F15" s="1304">
        <f>EXP(-(C15^2)/2)</f>
        <v>1.0138976449967588E-2</v>
      </c>
      <c r="G15" s="1289">
        <f>$F15*$C15</f>
        <v>-3.0724171060507829E-2</v>
      </c>
      <c r="H15" s="1289">
        <f>$F15*$C15^2</f>
        <v>9.3103548668205513E-2</v>
      </c>
      <c r="I15" s="1289">
        <f>$F15*$C15^3</f>
        <v>-0.28213196566122867</v>
      </c>
      <c r="J15" s="1289">
        <f>$F15*$C15^4</f>
        <v>0.85494535048857145</v>
      </c>
      <c r="K15" s="1289">
        <f>$F15*$C15^5</f>
        <v>-2.5907434863290035</v>
      </c>
      <c r="L15" s="1289">
        <f>$F15*$C15^6</f>
        <v>7.8507378373606134</v>
      </c>
      <c r="M15" s="1289">
        <f>$F15*$C15^7</f>
        <v>-23.790114658668511</v>
      </c>
      <c r="N15" s="1289">
        <f>$F15*$C15^8</f>
        <v>72.09125654141971</v>
      </c>
      <c r="O15" s="1289">
        <f>$F15*$C15^9</f>
        <v>-218.45835315581721</v>
      </c>
      <c r="P15" s="1303">
        <v>2.1648810787865749E-3</v>
      </c>
      <c r="Q15" s="1375">
        <v>-9.277590124304784E-3</v>
      </c>
      <c r="R15" s="1375">
        <v>2.6583184556003597E-2</v>
      </c>
      <c r="S15" s="1375">
        <v>-5.8199536399733291E-2</v>
      </c>
      <c r="T15" s="1375">
        <v>0.10170601920608659</v>
      </c>
      <c r="U15" s="1375">
        <v>-0.14302248603714526</v>
      </c>
      <c r="V15" s="1375">
        <v>0.15809603625174123</v>
      </c>
      <c r="W15" s="1375">
        <v>-0.12568568997442431</v>
      </c>
      <c r="X15" s="1375">
        <v>4.5620015151755844E-2</v>
      </c>
      <c r="Y15" s="1302">
        <v>5.2893665090225195E-2</v>
      </c>
      <c r="Z15" s="1308">
        <v>1</v>
      </c>
      <c r="AA15" s="1289">
        <v>6.5716894826031772E-30</v>
      </c>
      <c r="AB15" s="1289">
        <v>0.30196388719592171</v>
      </c>
      <c r="AC15" s="1289">
        <v>-5.4479195313474776E-17</v>
      </c>
      <c r="AD15" s="1289">
        <v>-0.36983891717692913</v>
      </c>
      <c r="AE15" s="1289">
        <v>-3.1705048265987006E-16</v>
      </c>
      <c r="AF15" s="1289">
        <v>0.41385730737779447</v>
      </c>
      <c r="AG15" s="1289">
        <v>4.772419657853091E-15</v>
      </c>
      <c r="AH15" s="1289">
        <v>-0.45102941484416104</v>
      </c>
      <c r="AI15" s="1289">
        <v>-1.9326707173757009E-14</v>
      </c>
      <c r="AJ15" s="1302">
        <v>0.4944419878935763</v>
      </c>
      <c r="AM15" s="1323"/>
      <c r="AO15" s="1292"/>
    </row>
    <row r="16" spans="1:42" ht="15" customHeight="1">
      <c r="A16" s="1308">
        <v>14</v>
      </c>
      <c r="B16" s="1307">
        <f>B15+0.1</f>
        <v>-1.6999999999999988</v>
      </c>
      <c r="C16" s="1292">
        <f>(B16-B$103)/B$104*E$104</f>
        <v>-2.9494949494949481</v>
      </c>
      <c r="D16" s="1306">
        <v>0.79</v>
      </c>
      <c r="E16" s="1305">
        <v>1.1026503555728453</v>
      </c>
      <c r="F16" s="1304">
        <f>EXP(-(C16^2)/2)</f>
        <v>1.2909907636709888E-2</v>
      </c>
      <c r="G16" s="1289">
        <f>$F16*$C16</f>
        <v>-3.8077707372922077E-2</v>
      </c>
      <c r="H16" s="1289">
        <f>$F16*$C16^2</f>
        <v>0.1123100055847802</v>
      </c>
      <c r="I16" s="1289">
        <f>$F16*$C16^3</f>
        <v>-0.33125779425005858</v>
      </c>
      <c r="J16" s="1289">
        <f>$F16*$C16^4</f>
        <v>0.97704319112138449</v>
      </c>
      <c r="K16" s="1289">
        <f>$F16*$C16^5</f>
        <v>-2.881783957650951</v>
      </c>
      <c r="L16" s="1289">
        <f>$F16*$C16^6</f>
        <v>8.4998072286270432</v>
      </c>
      <c r="M16" s="1289">
        <f>$F16*$C16^7</f>
        <v>-25.070138492516111</v>
      </c>
      <c r="N16" s="1289">
        <f>$F16*$C16^8</f>
        <v>73.944246866815163</v>
      </c>
      <c r="O16" s="1289">
        <f>$F16*$C16^9</f>
        <v>-218.09818267787898</v>
      </c>
      <c r="P16" s="1303">
        <v>2.7565321716161496E-3</v>
      </c>
      <c r="Q16" s="1375">
        <v>-1.1498092533837921E-2</v>
      </c>
      <c r="R16" s="1375">
        <v>3.1964496089454231E-2</v>
      </c>
      <c r="S16" s="1375">
        <v>-6.759238951825601E-2</v>
      </c>
      <c r="T16" s="1375">
        <v>0.11331238923136942</v>
      </c>
      <c r="U16" s="1375">
        <v>-0.15108394025228972</v>
      </c>
      <c r="V16" s="1375">
        <v>0.15455281693404471</v>
      </c>
      <c r="W16" s="1375">
        <v>-0.10559708413966008</v>
      </c>
      <c r="X16" s="1375">
        <v>1.3263005162346353E-2</v>
      </c>
      <c r="Y16" s="1302">
        <v>8.2905399652967615E-2</v>
      </c>
      <c r="Z16" s="1308">
        <v>2</v>
      </c>
      <c r="AA16" s="1289">
        <v>1.8497661440653923E-15</v>
      </c>
      <c r="AB16" s="1290">
        <v>-2.4794349228895288E-29</v>
      </c>
      <c r="AC16" s="1289">
        <v>0.30196476072657324</v>
      </c>
      <c r="AD16" s="1289">
        <v>-4.2286113978054346E-16</v>
      </c>
      <c r="AE16" s="1289">
        <v>-0.52312087150001718</v>
      </c>
      <c r="AF16" s="1289">
        <v>3.0065672391269317E-15</v>
      </c>
      <c r="AG16" s="1289">
        <v>0.71882861527103481</v>
      </c>
      <c r="AH16" s="1289">
        <v>-2.0739109740728868E-14</v>
      </c>
      <c r="AI16" s="1289">
        <v>-0.9161731195595938</v>
      </c>
      <c r="AJ16" s="1302">
        <v>5.2905647520184151E-14</v>
      </c>
      <c r="AK16" s="1327"/>
      <c r="AL16" s="1327"/>
      <c r="AO16" s="1292"/>
      <c r="AP16" s="1327"/>
    </row>
    <row r="17" spans="1:41" ht="15" customHeight="1">
      <c r="A17" s="1308">
        <v>15</v>
      </c>
      <c r="B17" s="1307">
        <f>B16+0.1</f>
        <v>-1.5999999999999988</v>
      </c>
      <c r="C17" s="1292">
        <f>(B17-B$103)/B$104*E$104</f>
        <v>-2.8686868686868667</v>
      </c>
      <c r="D17" s="1306">
        <v>1.53</v>
      </c>
      <c r="E17" s="1305">
        <v>1.3785762332034059</v>
      </c>
      <c r="F17" s="1304">
        <f>EXP(-(C17^2)/2)</f>
        <v>1.6331130021395766E-2</v>
      </c>
      <c r="G17" s="1289">
        <f>$F17*$C17</f>
        <v>-4.6848898243195901E-2</v>
      </c>
      <c r="H17" s="1289">
        <f>$F17*$C17^2</f>
        <v>0.1343948192027033</v>
      </c>
      <c r="I17" s="1289">
        <f>$F17*$C17^3</f>
        <v>-0.38553665306634055</v>
      </c>
      <c r="J17" s="1289">
        <f>$F17*$C17^4</f>
        <v>1.1059839340488955</v>
      </c>
      <c r="K17" s="1289">
        <f>$F17*$C17^5</f>
        <v>-3.1727215885847082</v>
      </c>
      <c r="L17" s="1289">
        <f>$F17*$C17^6</f>
        <v>9.1015447591722882</v>
      </c>
      <c r="M17" s="1289">
        <f>$F17*$C17^7</f>
        <v>-26.109481935403309</v>
      </c>
      <c r="N17" s="1289">
        <f>$F17*$C17^8</f>
        <v>74.899927976308433</v>
      </c>
      <c r="O17" s="1289">
        <f>$F17*$C17^9</f>
        <v>-214.8644398512281</v>
      </c>
      <c r="P17" s="1303">
        <v>3.4870338789112052E-3</v>
      </c>
      <c r="Q17" s="1375">
        <v>-1.4146675424363349E-2</v>
      </c>
      <c r="R17" s="1375">
        <v>3.8116787438337962E-2</v>
      </c>
      <c r="S17" s="1375">
        <v>-7.7731471278237818E-2</v>
      </c>
      <c r="T17" s="1375">
        <v>0.12469133194959087</v>
      </c>
      <c r="U17" s="1375">
        <v>-0.15687681525827671</v>
      </c>
      <c r="V17" s="1375">
        <v>0.14669048929127046</v>
      </c>
      <c r="W17" s="1375">
        <v>-8.1232772142909512E-2</v>
      </c>
      <c r="X17" s="1375">
        <v>-1.9626832853803844E-2</v>
      </c>
      <c r="Y17" s="1302">
        <v>0.10692109444740661</v>
      </c>
      <c r="Z17" s="1308">
        <v>3</v>
      </c>
      <c r="AA17" s="1289">
        <v>-6.5716894826031772E-30</v>
      </c>
      <c r="AB17" s="1290">
        <v>2.9079120298996552E-16</v>
      </c>
      <c r="AC17" s="1289">
        <v>5.4814805895919281E-30</v>
      </c>
      <c r="AD17" s="1289">
        <v>0.24656025910739163</v>
      </c>
      <c r="AE17" s="1289">
        <v>4.0245928320106602E-17</v>
      </c>
      <c r="AF17" s="1289">
        <v>-0.55189516686466877</v>
      </c>
      <c r="AG17" s="1289">
        <v>-5.0792233913456909E-15</v>
      </c>
      <c r="AH17" s="1289">
        <v>0.90395761948936681</v>
      </c>
      <c r="AI17" s="1289">
        <v>2.9557241859766393E-14</v>
      </c>
      <c r="AJ17" s="1302">
        <v>-1.3344520713047996</v>
      </c>
      <c r="AO17" s="1292"/>
    </row>
    <row r="18" spans="1:41" ht="15" customHeight="1">
      <c r="A18" s="1308">
        <v>16</v>
      </c>
      <c r="B18" s="1307">
        <f>B17+0.1</f>
        <v>-1.4999999999999987</v>
      </c>
      <c r="C18" s="1292">
        <f>(B18-B$103)/B$104*E$104</f>
        <v>-2.7878787878787858</v>
      </c>
      <c r="D18" s="1306">
        <v>1.47</v>
      </c>
      <c r="E18" s="1305">
        <v>1.742198515647795</v>
      </c>
      <c r="F18" s="1304">
        <f>EXP(-(C18^2)/2)</f>
        <v>2.0524539335735673E-2</v>
      </c>
      <c r="G18" s="1289">
        <f>$F18*$C18</f>
        <v>-5.7219927845081231E-2</v>
      </c>
      <c r="H18" s="1289">
        <f>$F18*$C18^2</f>
        <v>0.15952222308325664</v>
      </c>
      <c r="I18" s="1289">
        <f>$F18*$C18^3</f>
        <v>-0.4447286219290788</v>
      </c>
      <c r="J18" s="1289">
        <f>$F18*$C18^4</f>
        <v>1.2398494914386431</v>
      </c>
      <c r="K18" s="1289">
        <f>$F18*$C18^5</f>
        <v>-3.4565500973440932</v>
      </c>
      <c r="L18" s="1289">
        <f>$F18*$C18^6</f>
        <v>9.6364426956259486</v>
      </c>
      <c r="M18" s="1289">
        <f>$F18*$C18^7</f>
        <v>-26.865234181745052</v>
      </c>
      <c r="N18" s="1289">
        <f>$F18*$C18^8</f>
        <v>74.897016506683116</v>
      </c>
      <c r="O18" s="1289">
        <f>$F18*$C18^9</f>
        <v>-208.80380359438917</v>
      </c>
      <c r="P18" s="1303">
        <v>4.382413459386357E-3</v>
      </c>
      <c r="Q18" s="1375">
        <v>-1.727835183717278E-2</v>
      </c>
      <c r="R18" s="1375">
        <v>4.5071247249675081E-2</v>
      </c>
      <c r="S18" s="1375">
        <v>-8.8490248100140084E-2</v>
      </c>
      <c r="T18" s="1375">
        <v>0.13543840030179258</v>
      </c>
      <c r="U18" s="1375">
        <v>-0.15983543672524128</v>
      </c>
      <c r="V18" s="1375">
        <v>0.13428402161972461</v>
      </c>
      <c r="W18" s="1375">
        <v>-5.3347748124476166E-2</v>
      </c>
      <c r="X18" s="1375">
        <v>-5.1218308565566417E-2</v>
      </c>
      <c r="Y18" s="1302">
        <v>0.12305928512608499</v>
      </c>
      <c r="Z18" s="1308">
        <v>4</v>
      </c>
      <c r="AA18" s="1289">
        <v>-2.3122076800817404E-16</v>
      </c>
      <c r="AB18" s="1290">
        <v>4.1323915381492145E-30</v>
      </c>
      <c r="AC18" s="1289">
        <v>1.3416518446044152E-16</v>
      </c>
      <c r="AD18" s="1289">
        <v>0</v>
      </c>
      <c r="AE18" s="1289">
        <v>0.1743789669468038</v>
      </c>
      <c r="AF18" s="1289">
        <v>-9.1915395438494826E-16</v>
      </c>
      <c r="AG18" s="1289">
        <v>-0.47954863379402379</v>
      </c>
      <c r="AH18" s="1289">
        <v>1.1465017712657358E-14</v>
      </c>
      <c r="AI18" s="1289">
        <v>0.92163791678896545</v>
      </c>
      <c r="AJ18" s="1302">
        <v>-3.667478598434994E-14</v>
      </c>
      <c r="AO18" s="1292"/>
    </row>
    <row r="19" spans="1:41" ht="15" customHeight="1">
      <c r="A19" s="1308">
        <v>17</v>
      </c>
      <c r="B19" s="1307">
        <f>B18+0.1</f>
        <v>-1.3999999999999986</v>
      </c>
      <c r="C19" s="1292">
        <f>(B19-B$103)/B$104*E$104</f>
        <v>-2.707070707070705</v>
      </c>
      <c r="D19" s="1306">
        <v>2.2399999999999998</v>
      </c>
      <c r="E19" s="1305">
        <v>2.2038630214642012</v>
      </c>
      <c r="F19" s="1304">
        <f>EXP(-(C19^2)/2)</f>
        <v>2.5626817773421282E-2</v>
      </c>
      <c r="G19" s="1289">
        <f>$F19*$C19</f>
        <v>-6.9373607709867655E-2</v>
      </c>
      <c r="H19" s="1289">
        <f>$F19*$C19^2</f>
        <v>0.18779926127519714</v>
      </c>
      <c r="I19" s="1289">
        <f>$F19*$C19^3</f>
        <v>-0.50838587900760401</v>
      </c>
      <c r="J19" s="1289">
        <f>$F19*$C19^4</f>
        <v>1.3762365209498764</v>
      </c>
      <c r="K19" s="1289">
        <f>$F19*$C19^5</f>
        <v>-3.7255695718643089</v>
      </c>
      <c r="L19" s="1289">
        <f>$F19*$C19^6</f>
        <v>10.085380255147818</v>
      </c>
      <c r="M19" s="1289">
        <f>$F19*$C19^7</f>
        <v>-27.301837458379936</v>
      </c>
      <c r="N19" s="1289">
        <f>$F19*$C19^8</f>
        <v>73.908004432786015</v>
      </c>
      <c r="O19" s="1289">
        <f>$F19*$C19^9</f>
        <v>-200.07419381804684</v>
      </c>
      <c r="P19" s="1303">
        <v>5.471855387075078E-3</v>
      </c>
      <c r="Q19" s="1375">
        <v>-2.0948324252878642E-2</v>
      </c>
      <c r="R19" s="1375">
        <v>5.2839562458607561E-2</v>
      </c>
      <c r="S19" s="1375">
        <v>-9.9690694098579488E-2</v>
      </c>
      <c r="T19" s="1375">
        <v>0.14509637980124118</v>
      </c>
      <c r="U19" s="1375">
        <v>-0.15943255409651247</v>
      </c>
      <c r="V19" s="1375">
        <v>0.11732296661570719</v>
      </c>
      <c r="W19" s="1375">
        <v>-2.3014744186550761E-2</v>
      </c>
      <c r="X19" s="1375">
        <v>-7.9567272576159143E-2</v>
      </c>
      <c r="Y19" s="1302">
        <v>0.12988962503053858</v>
      </c>
      <c r="Z19" s="1308">
        <v>5</v>
      </c>
      <c r="AA19" s="1289">
        <v>0</v>
      </c>
      <c r="AB19" s="1290">
        <v>4.361868044849483E-16</v>
      </c>
      <c r="AC19" s="1289">
        <v>-2.8599029163088321E-30</v>
      </c>
      <c r="AD19" s="1289">
        <v>0</v>
      </c>
      <c r="AE19" s="1289">
        <v>3.8355422709360717E-30</v>
      </c>
      <c r="AF19" s="1289">
        <v>0.11039855281171097</v>
      </c>
      <c r="AG19" s="1289">
        <v>8.575045405735287E-16</v>
      </c>
      <c r="AH19" s="1289">
        <v>-0.362460057042581</v>
      </c>
      <c r="AI19" s="1289">
        <v>-9.503501360721252E-15</v>
      </c>
      <c r="AJ19" s="1302">
        <v>0.81186984873102197</v>
      </c>
      <c r="AO19" s="1292"/>
    </row>
    <row r="20" spans="1:41" ht="15" customHeight="1">
      <c r="A20" s="1308">
        <v>18</v>
      </c>
      <c r="B20" s="1307">
        <f>B19+0.1</f>
        <v>-1.2999999999999985</v>
      </c>
      <c r="C20" s="1292">
        <f>(B20-B$103)/B$104*E$104</f>
        <v>-2.6262626262626241</v>
      </c>
      <c r="D20" s="1306">
        <v>2.5300000000000002</v>
      </c>
      <c r="E20" s="1305">
        <v>2.7707656188536327</v>
      </c>
      <c r="F20" s="1304">
        <f>EXP(-(C20^2)/2)</f>
        <v>3.1789231104807025E-2</v>
      </c>
      <c r="G20" s="1289">
        <f>$F20*$C20</f>
        <v>-8.3486869568179994E-2</v>
      </c>
      <c r="H20" s="1289">
        <f>$F20*$C20^2</f>
        <v>0.21925844533057354</v>
      </c>
      <c r="I20" s="1289">
        <f>$F20*$C20^3</f>
        <v>-0.5758302604641321</v>
      </c>
      <c r="J20" s="1289">
        <f>$F20*$C20^4</f>
        <v>1.5122814921280223</v>
      </c>
      <c r="K20" s="1289">
        <f>$F20*$C20^5</f>
        <v>-3.9716483631644999</v>
      </c>
      <c r="L20" s="1289">
        <f>$F20*$C20^6</f>
        <v>10.430591660836052</v>
      </c>
      <c r="M20" s="1289">
        <f>$F20*$C20^7</f>
        <v>-27.393473048660315</v>
      </c>
      <c r="N20" s="1289">
        <f>$F20*$C20^8</f>
        <v>71.942454471229055</v>
      </c>
      <c r="O20" s="1289">
        <f>$F20*$C20^9</f>
        <v>-188.93977941938925</v>
      </c>
      <c r="P20" s="1303">
        <v>6.7876580311198769E-3</v>
      </c>
      <c r="Q20" s="1375">
        <v>-2.5210019664628713E-2</v>
      </c>
      <c r="R20" s="1375">
        <v>6.1408711950427144E-2</v>
      </c>
      <c r="S20" s="1375">
        <v>-0.11110016478232615</v>
      </c>
      <c r="T20" s="1375">
        <v>0.15316870552973172</v>
      </c>
      <c r="U20" s="1375">
        <v>-0.15521794492667251</v>
      </c>
      <c r="V20" s="1375">
        <v>9.6048944797029759E-2</v>
      </c>
      <c r="W20" s="1375">
        <v>8.4054480556676192E-3</v>
      </c>
      <c r="X20" s="1375">
        <v>-0.1027584909654653</v>
      </c>
      <c r="Y20" s="1302">
        <v>0.12661295305987053</v>
      </c>
      <c r="Z20" s="1308">
        <v>6</v>
      </c>
      <c r="AA20" s="1289">
        <v>5.7805192002043509E-17</v>
      </c>
      <c r="AB20" s="1290">
        <v>5.1654894226865181E-31</v>
      </c>
      <c r="AC20" s="1289">
        <v>-6.7082592230226752E-17</v>
      </c>
      <c r="AD20" s="1289">
        <v>0</v>
      </c>
      <c r="AE20" s="1289">
        <v>1.2457028900589619E-16</v>
      </c>
      <c r="AF20" s="1289">
        <v>-4.4066795924926943E-31</v>
      </c>
      <c r="AG20" s="1289">
        <v>6.399046738963271E-2</v>
      </c>
      <c r="AH20" s="1289">
        <v>-1.2934906827537883E-15</v>
      </c>
      <c r="AI20" s="1289">
        <v>-0.24747127907456173</v>
      </c>
      <c r="AJ20" s="1302">
        <v>7.0188222012844718E-15</v>
      </c>
      <c r="AO20" s="1292"/>
    </row>
    <row r="21" spans="1:41" ht="15" customHeight="1">
      <c r="A21" s="1308">
        <v>19</v>
      </c>
      <c r="B21" s="1307">
        <f>B20+0.1</f>
        <v>-1.1999999999999984</v>
      </c>
      <c r="C21" s="1292">
        <f>(B21-B$103)/B$104*E$104</f>
        <v>-2.5454545454545432</v>
      </c>
      <c r="D21" s="1306">
        <v>3.5</v>
      </c>
      <c r="E21" s="1305">
        <v>3.4458758177133926</v>
      </c>
      <c r="F21" s="1304">
        <f>EXP(-(C21^2)/2)</f>
        <v>3.9176843981362001E-2</v>
      </c>
      <c r="G21" s="1289">
        <f>$F21*$C21</f>
        <v>-9.9722875588921372E-2</v>
      </c>
      <c r="H21" s="1289">
        <f>$F21*$C21^2</f>
        <v>0.25384004695361778</v>
      </c>
      <c r="I21" s="1289">
        <f>$F21*$C21^3</f>
        <v>-0.64613830133648109</v>
      </c>
      <c r="J21" s="1289">
        <f>$F21*$C21^4</f>
        <v>1.6447156761292232</v>
      </c>
      <c r="K21" s="1289">
        <f>$F21*$C21^5</f>
        <v>-4.1865489937834734</v>
      </c>
      <c r="L21" s="1289">
        <f>$F21*$C21^6</f>
        <v>10.656670165994285</v>
      </c>
      <c r="M21" s="1289">
        <f>$F21*$C21^7</f>
        <v>-27.126069513439976</v>
      </c>
      <c r="N21" s="1289">
        <f>$F21*$C21^8</f>
        <v>69.048176943301698</v>
      </c>
      <c r="O21" s="1289">
        <f>$F21*$C21^9</f>
        <v>-175.75899585567689</v>
      </c>
      <c r="P21" s="1303">
        <v>8.3650661070504943E-3</v>
      </c>
      <c r="Q21" s="1375">
        <v>-3.0112707155188292E-2</v>
      </c>
      <c r="R21" s="1375">
        <v>7.0735738039693088E-2</v>
      </c>
      <c r="S21" s="1375">
        <v>-0.12243062667115653</v>
      </c>
      <c r="T21" s="1375">
        <v>0.15913821165400785</v>
      </c>
      <c r="U21" s="1375">
        <v>-0.14685938533047196</v>
      </c>
      <c r="V21" s="1375">
        <v>7.0980887640938128E-2</v>
      </c>
      <c r="W21" s="1375">
        <v>3.9322551024339951E-2</v>
      </c>
      <c r="X21" s="1375">
        <v>-0.11906632688066643</v>
      </c>
      <c r="Y21" s="1302">
        <v>0.11320288561901637</v>
      </c>
      <c r="Z21" s="1308">
        <v>7</v>
      </c>
      <c r="AA21" s="1289">
        <v>0</v>
      </c>
      <c r="AB21" s="1290">
        <v>1.8174450186872845E-17</v>
      </c>
      <c r="AC21" s="1289">
        <v>4.4685983067325502E-32</v>
      </c>
      <c r="AD21" s="1289">
        <v>1.258073826267601E-17</v>
      </c>
      <c r="AE21" s="1289">
        <v>-2.5816149900531252E-31</v>
      </c>
      <c r="AF21" s="1289">
        <v>-3.1009250891705105E-17</v>
      </c>
      <c r="AG21" s="1289">
        <v>1.6414209742074016E-31</v>
      </c>
      <c r="AH21" s="1289">
        <v>3.4617272697585022E-2</v>
      </c>
      <c r="AI21" s="1289">
        <v>7.5295318243958761E-16</v>
      </c>
      <c r="AJ21" s="1302">
        <v>-0.1571638582047778</v>
      </c>
      <c r="AO21" s="1292"/>
    </row>
    <row r="22" spans="1:41" ht="15" customHeight="1">
      <c r="A22" s="1308">
        <v>20</v>
      </c>
      <c r="B22" s="1307">
        <f>B21+0.1</f>
        <v>-1.0999999999999983</v>
      </c>
      <c r="C22" s="1292">
        <f>(B22-B$103)/B$104*E$104</f>
        <v>-2.4646464646464623</v>
      </c>
      <c r="D22" s="1306">
        <v>3.9899999999999998</v>
      </c>
      <c r="E22" s="1305">
        <v>4.2270016451732024</v>
      </c>
      <c r="F22" s="1304">
        <f>EXP(-(C22^2)/2)</f>
        <v>4.7967043489952191E-2</v>
      </c>
      <c r="G22" s="1289">
        <f>$F22*$C22</f>
        <v>-0.11822180415705377</v>
      </c>
      <c r="H22" s="1289">
        <f>$F22*$C22^2</f>
        <v>0.29137495165980903</v>
      </c>
      <c r="I22" s="1289">
        <f>$F22*$C22^3</f>
        <v>-0.71813624449488223</v>
      </c>
      <c r="J22" s="1289">
        <f>$F22*$C22^4</f>
        <v>1.7699519561287991</v>
      </c>
      <c r="K22" s="1289">
        <f>$F22*$C22^5</f>
        <v>-4.3623058312669345</v>
      </c>
      <c r="L22" s="1289">
        <f>$F22*$C22^6</f>
        <v>10.751541644738698</v>
      </c>
      <c r="M22" s="1289">
        <f>$F22*$C22^7</f>
        <v>-26.498749104204446</v>
      </c>
      <c r="N22" s="1289">
        <f>$F22*$C22^8</f>
        <v>65.310048297231106</v>
      </c>
      <c r="O22" s="1289">
        <f>$F22*$C22^9</f>
        <v>-160.96617964166035</v>
      </c>
      <c r="P22" s="1303">
        <v>1.0241955425100053E-2</v>
      </c>
      <c r="Q22" s="1375">
        <v>-3.5698715534581343E-2</v>
      </c>
      <c r="R22" s="1375">
        <v>8.0742791796701838E-2</v>
      </c>
      <c r="S22" s="1375">
        <v>-0.13334083448091974</v>
      </c>
      <c r="T22" s="1375">
        <v>0.16249104585924953</v>
      </c>
      <c r="U22" s="1375">
        <v>-0.13418328574867172</v>
      </c>
      <c r="V22" s="1375">
        <v>4.2923559787715559E-2</v>
      </c>
      <c r="W22" s="1375">
        <v>6.8003977661216047E-2</v>
      </c>
      <c r="X22" s="1375">
        <v>-0.12712118128297223</v>
      </c>
      <c r="Y22" s="1302">
        <v>9.0487844377715287E-2</v>
      </c>
      <c r="Z22" s="1308">
        <v>8</v>
      </c>
      <c r="AA22" s="1289">
        <v>3.6128245001277193E-18</v>
      </c>
      <c r="AB22" s="1290">
        <v>6.4568617783581477E-32</v>
      </c>
      <c r="AC22" s="1289">
        <v>1.0481655035971547E-18</v>
      </c>
      <c r="AD22" s="1289">
        <v>0</v>
      </c>
      <c r="AE22" s="1289">
        <v>-1.2976071771445859E-18</v>
      </c>
      <c r="AF22" s="1289">
        <v>-8.2625242359238008E-32</v>
      </c>
      <c r="AG22" s="1323">
        <v>1.6800688381359816E-18</v>
      </c>
      <c r="AH22" s="1323">
        <v>1.479117735549016E-31</v>
      </c>
      <c r="AI22" s="1323">
        <v>1.781971878829474E-2</v>
      </c>
      <c r="AJ22" s="1351">
        <v>-3.709657658842695E-16</v>
      </c>
      <c r="AO22" s="1292"/>
    </row>
    <row r="23" spans="1:41" ht="15" customHeight="1">
      <c r="A23" s="1308">
        <v>21</v>
      </c>
      <c r="B23" s="1307">
        <f>B22+0.1</f>
        <v>-0.99999999999999833</v>
      </c>
      <c r="C23" s="1292">
        <f>(B23-B$103)/B$104*E$104</f>
        <v>-2.3838383838383814</v>
      </c>
      <c r="D23" s="1306">
        <v>5.05</v>
      </c>
      <c r="E23" s="1305">
        <v>5.1061026243563683</v>
      </c>
      <c r="F23" s="1304">
        <f>EXP(-(C23^2)/2)</f>
        <v>5.8347269290841358E-2</v>
      </c>
      <c r="G23" s="1289">
        <f>$F23*$C23</f>
        <v>-0.13909046012766207</v>
      </c>
      <c r="H23" s="1289">
        <f>$F23*$C23^2</f>
        <v>0.33156917767806282</v>
      </c>
      <c r="I23" s="1289">
        <f>$F23*$C23^3</f>
        <v>-0.79040733264669427</v>
      </c>
      <c r="J23" s="1289">
        <f>$F23*$C23^4</f>
        <v>1.8842033384305017</v>
      </c>
      <c r="K23" s="1289">
        <f>$F23*$C23^5</f>
        <v>-4.4916362411070505</v>
      </c>
      <c r="L23" s="1289">
        <f>$F23*$C23^6</f>
        <v>10.707334877790531</v>
      </c>
      <c r="M23" s="1289">
        <f>$F23*$C23^7</f>
        <v>-25.524555870288513</v>
      </c>
      <c r="N23" s="1289">
        <f>$F23*$C23^8</f>
        <v>60.846416014021038</v>
      </c>
      <c r="O23" s="1289">
        <f>$F23*$C23^9</f>
        <v>-145.04802201322173</v>
      </c>
      <c r="P23" s="1303">
        <v>1.2458348227742591E-2</v>
      </c>
      <c r="Q23" s="1375">
        <v>-4.2000296012020683E-2</v>
      </c>
      <c r="R23" s="1375">
        <v>9.1312801010533379E-2</v>
      </c>
      <c r="S23" s="1375">
        <v>-0.14344197157449609</v>
      </c>
      <c r="T23" s="1375">
        <v>0.16274513683423161</v>
      </c>
      <c r="U23" s="1375">
        <v>-0.11721175734311998</v>
      </c>
      <c r="V23" s="1375">
        <v>1.2955560715481753E-2</v>
      </c>
      <c r="W23" s="1375">
        <v>9.2687375115204848E-2</v>
      </c>
      <c r="X23" s="1375">
        <v>-0.12606577816381703</v>
      </c>
      <c r="Y23" s="1302">
        <v>6.0156086654873153E-2</v>
      </c>
      <c r="Z23" s="1301">
        <v>9</v>
      </c>
      <c r="AA23" s="1295">
        <v>-1.2480726343120818E-33</v>
      </c>
      <c r="AB23" s="1350">
        <v>-1.1359031366795528E-18</v>
      </c>
      <c r="AC23" s="1295">
        <v>2.7928739417078438E-33</v>
      </c>
      <c r="AD23" s="1295">
        <v>-1.5725922828345013E-18</v>
      </c>
      <c r="AE23" s="1295">
        <v>-4.6100267679520093E-33</v>
      </c>
      <c r="AF23" s="1295">
        <v>4.8451954518289223E-18</v>
      </c>
      <c r="AG23" s="1295">
        <v>5.1294405443981293E-32</v>
      </c>
      <c r="AH23" s="1295">
        <v>-9.1073200348807579E-18</v>
      </c>
      <c r="AI23" s="1295">
        <v>-2.9536167428793629E-31</v>
      </c>
      <c r="AJ23" s="1294">
        <v>8.8987500688937019E-3</v>
      </c>
      <c r="AO23" s="1292"/>
    </row>
    <row r="24" spans="1:41" ht="15" customHeight="1">
      <c r="A24" s="1308">
        <v>22</v>
      </c>
      <c r="B24" s="1307">
        <f>B23+0.1</f>
        <v>-0.89999999999999836</v>
      </c>
      <c r="C24" s="1292">
        <f>(B24-B$103)/B$104*E$104</f>
        <v>-2.3030303030303005</v>
      </c>
      <c r="D24" s="1306">
        <v>6.49</v>
      </c>
      <c r="E24" s="1305">
        <v>6.068951287794957</v>
      </c>
      <c r="F24" s="1304">
        <f>EXP(-(C24^2)/2)</f>
        <v>7.0511864796513543E-2</v>
      </c>
      <c r="G24" s="1289">
        <f>$F24*$C24</f>
        <v>-0.16239096134954617</v>
      </c>
      <c r="H24" s="1289">
        <f>$F24*$C24^2</f>
        <v>0.37399130492622712</v>
      </c>
      <c r="I24" s="1289">
        <f>$F24*$C24^3</f>
        <v>-0.86131330831494635</v>
      </c>
      <c r="J24" s="1289">
        <f>$F24*$C24^4</f>
        <v>1.9836306494526015</v>
      </c>
      <c r="K24" s="1289">
        <f>$F24*$C24^5</f>
        <v>-4.5683614957090173</v>
      </c>
      <c r="L24" s="1289">
        <f>$F24*$C24^6</f>
        <v>10.521074959814694</v>
      </c>
      <c r="M24" s="1289">
        <f>$F24*$C24^7</f>
        <v>-24.230354452906543</v>
      </c>
      <c r="N24" s="1289">
        <f>$F24*$C24^8</f>
        <v>55.803240558208934</v>
      </c>
      <c r="O24" s="1289">
        <f>$F24*$C24^9</f>
        <v>-128.51655401284469</v>
      </c>
      <c r="P24" s="1303">
        <v>1.5055740851274918E-2</v>
      </c>
      <c r="Q24" s="1375">
        <v>-4.9036205934594172E-2</v>
      </c>
      <c r="R24" s="1375">
        <v>0.10228614959898812</v>
      </c>
      <c r="S24" s="1375">
        <v>-0.15230713516594141</v>
      </c>
      <c r="T24" s="1375">
        <v>0.15948211389208322</v>
      </c>
      <c r="U24" s="1375">
        <v>-9.6192531838396975E-2</v>
      </c>
      <c r="V24" s="1375">
        <v>-1.7605791083143991E-2</v>
      </c>
      <c r="W24" s="1375">
        <v>0.11171215312499122</v>
      </c>
      <c r="X24" s="1375">
        <v>-0.11568387010826253</v>
      </c>
      <c r="Y24" s="1302">
        <v>2.4672759720072657E-2</v>
      </c>
      <c r="Z24" s="662" t="s">
        <v>27</v>
      </c>
      <c r="AA24" s="1349"/>
      <c r="AB24" s="1349"/>
      <c r="AC24" s="1349"/>
      <c r="AD24" s="1349"/>
      <c r="AE24" s="1349"/>
      <c r="AF24" s="1349"/>
      <c r="AG24" s="1349"/>
      <c r="AH24" s="1348"/>
      <c r="AO24" s="1292"/>
    </row>
    <row r="25" spans="1:41" ht="15" customHeight="1">
      <c r="A25" s="1308">
        <v>23</v>
      </c>
      <c r="B25" s="1307">
        <f>B24+0.1</f>
        <v>-0.79999999999999838</v>
      </c>
      <c r="C25" s="1292">
        <f>(B25-B$103)/B$104*E$104</f>
        <v>-2.2222222222222197</v>
      </c>
      <c r="D25" s="1306">
        <v>7.17</v>
      </c>
      <c r="E25" s="1305">
        <v>7.0952254406725626</v>
      </c>
      <c r="F25" s="1304">
        <f>EXP(-(C25^2)/2)</f>
        <v>8.4657988622530461E-2</v>
      </c>
      <c r="G25" s="1289">
        <f>$F25*$C25</f>
        <v>-0.18812886360562303</v>
      </c>
      <c r="H25" s="1289">
        <f>$F25*$C25^2</f>
        <v>0.41806414134582842</v>
      </c>
      <c r="I25" s="1289">
        <f>$F25*$C25^3</f>
        <v>-0.92903142521295101</v>
      </c>
      <c r="J25" s="1289">
        <f>$F25*$C25^4</f>
        <v>2.0645142782509995</v>
      </c>
      <c r="K25" s="1289">
        <f>$F25*$C25^5</f>
        <v>-4.5878095072244385</v>
      </c>
      <c r="L25" s="1289">
        <f>$F25*$C25^6</f>
        <v>10.195132238276516</v>
      </c>
      <c r="M25" s="1289">
        <f>$F25*$C25^7</f>
        <v>-22.655849418392233</v>
      </c>
      <c r="N25" s="1289">
        <f>$F25*$C25^8</f>
        <v>50.346332040871566</v>
      </c>
      <c r="O25" s="1289">
        <f>$F25*$C25^9</f>
        <v>-111.88073786860335</v>
      </c>
      <c r="P25" s="1303">
        <v>1.807623073605065E-2</v>
      </c>
      <c r="Q25" s="1375">
        <v>-5.6808122948107845E-2</v>
      </c>
      <c r="R25" s="1375">
        <v>0.1134587784340092</v>
      </c>
      <c r="S25" s="1375">
        <v>-0.15948485371378499</v>
      </c>
      <c r="T25" s="1375">
        <v>0.15238108008138351</v>
      </c>
      <c r="U25" s="1375">
        <v>-7.1618081664832245E-2</v>
      </c>
      <c r="V25" s="1375">
        <v>-4.726359012993378E-2</v>
      </c>
      <c r="W25" s="1375">
        <v>0.12366059387818974</v>
      </c>
      <c r="X25" s="1375">
        <v>-9.6484224562949472E-2</v>
      </c>
      <c r="Y25" s="1302">
        <v>-1.2893128570820367E-2</v>
      </c>
      <c r="Z25" s="18" t="s">
        <v>86</v>
      </c>
      <c r="AA25" s="19" t="s">
        <v>488</v>
      </c>
      <c r="AB25" s="1347" t="s">
        <v>495</v>
      </c>
      <c r="AC25" s="1346" t="s">
        <v>494</v>
      </c>
      <c r="AD25" s="25" t="s">
        <v>30</v>
      </c>
      <c r="AE25" s="19" t="s">
        <v>31</v>
      </c>
      <c r="AF25" s="20" t="s">
        <v>32</v>
      </c>
      <c r="AG25" s="1321" t="s">
        <v>3</v>
      </c>
      <c r="AH25" s="1320" t="s">
        <v>33</v>
      </c>
      <c r="AO25" s="1292"/>
    </row>
    <row r="26" spans="1:41" ht="15" customHeight="1">
      <c r="A26" s="1308">
        <v>24</v>
      </c>
      <c r="B26" s="1307">
        <f>B25+0.1</f>
        <v>-0.6999999999999984</v>
      </c>
      <c r="C26" s="1292">
        <f>(B26-B$103)/B$104*E$104</f>
        <v>-2.1414141414141388</v>
      </c>
      <c r="D26" s="1306">
        <v>8.14</v>
      </c>
      <c r="E26" s="1305">
        <v>8.1590834965227064</v>
      </c>
      <c r="F26" s="1304">
        <f>EXP(-(C26^2)/2)</f>
        <v>0.10098055933250974</v>
      </c>
      <c r="G26" s="1289">
        <f>$F26*$C26</f>
        <v>-0.21624119776254583</v>
      </c>
      <c r="H26" s="1289">
        <f>$F26*$C26^2</f>
        <v>0.46306195884504714</v>
      </c>
      <c r="I26" s="1289">
        <f>$F26*$C26^3</f>
        <v>-0.99160742702171589</v>
      </c>
      <c r="J26" s="1289">
        <f>$F26*$C26^4</f>
        <v>2.1234421669555914</v>
      </c>
      <c r="K26" s="1289">
        <f>$F26*$C26^5</f>
        <v>-4.5471690847937856</v>
      </c>
      <c r="L26" s="1289">
        <f>$F26*$C26^6</f>
        <v>9.7373721815786016</v>
      </c>
      <c r="M26" s="1289">
        <f>$F26*$C26^7</f>
        <v>-20.851746489845059</v>
      </c>
      <c r="N26" s="1289">
        <f>$F26*$C26^8</f>
        <v>44.652224806536843</v>
      </c>
      <c r="O26" s="1289">
        <f>$F26*$C26^9</f>
        <v>-95.618905646321195</v>
      </c>
      <c r="P26" s="1303">
        <v>2.1561437025023934E-2</v>
      </c>
      <c r="Q26" s="1375">
        <v>-6.5297032648282932E-2</v>
      </c>
      <c r="R26" s="1375">
        <v>0.12458211394802227</v>
      </c>
      <c r="S26" s="1375">
        <v>-0.16451657370974637</v>
      </c>
      <c r="T26" s="1375">
        <v>0.14125217859068592</v>
      </c>
      <c r="U26" s="1375">
        <v>-4.4230539801148258E-2</v>
      </c>
      <c r="V26" s="1375">
        <v>-7.4423285989573526E-2</v>
      </c>
      <c r="W26" s="1375">
        <v>0.12749662309025742</v>
      </c>
      <c r="X26" s="1375">
        <v>-6.9725108673972747E-2</v>
      </c>
      <c r="Y26" s="1302">
        <v>-4.912343435752109E-2</v>
      </c>
      <c r="Z26" s="1319">
        <v>0</v>
      </c>
      <c r="AA26" s="1318">
        <f t="array" ref="AA26:AA35">MMULT(TRANSPOSE(H),y)</f>
        <v>64.749042425028563</v>
      </c>
      <c r="AB26" s="1292">
        <f>SQRT(AD26)</f>
        <v>31.441038245550136</v>
      </c>
      <c r="AC26" s="1316">
        <f>AD26/AD$38</f>
        <v>0.42207483216485092</v>
      </c>
      <c r="AD26" s="1345">
        <f>SUMSQ(AA26)-COUNT(y)*AVERAGE(y)^2</f>
        <v>988.53888595814624</v>
      </c>
      <c r="AE26" s="1289">
        <v>0</v>
      </c>
      <c r="AF26" s="1302"/>
      <c r="AG26" s="1304"/>
      <c r="AH26" s="1302"/>
      <c r="AO26" s="1292"/>
    </row>
    <row r="27" spans="1:41" ht="15" customHeight="1">
      <c r="A27" s="1308">
        <v>25</v>
      </c>
      <c r="B27" s="1307">
        <f>B26+0.1</f>
        <v>-0.59999999999999842</v>
      </c>
      <c r="C27" s="1292">
        <f>(B27-B$103)/B$104*E$104</f>
        <v>-2.0606060606060579</v>
      </c>
      <c r="D27" s="1306">
        <v>9.5500000000000007</v>
      </c>
      <c r="E27" s="1305">
        <v>9.2302352687069646</v>
      </c>
      <c r="F27" s="1304">
        <f>EXP(-(C27^2)/2)</f>
        <v>0.11966624910956007</v>
      </c>
      <c r="G27" s="1289">
        <f>$F27*$C27</f>
        <v>-0.24658499816515375</v>
      </c>
      <c r="H27" s="1289">
        <f>$F27*$C27^2</f>
        <v>0.50811454167364944</v>
      </c>
      <c r="I27" s="1289">
        <f>$F27*$C27^3</f>
        <v>-1.0470239040547913</v>
      </c>
      <c r="J27" s="1289">
        <f>$F27*$C27^4</f>
        <v>2.1575038022947188</v>
      </c>
      <c r="K27" s="1289">
        <f>$F27*$C27^5</f>
        <v>-4.4457654107891118</v>
      </c>
      <c r="L27" s="1289">
        <f>$F27*$C27^6</f>
        <v>9.1609711495048245</v>
      </c>
      <c r="M27" s="1289">
        <f>$F27*$C27^7</f>
        <v>-18.877152671706881</v>
      </c>
      <c r="N27" s="1289">
        <f>$F27*$C27^8</f>
        <v>38.89837520230504</v>
      </c>
      <c r="O27" s="1289">
        <f>$F27*$C27^9</f>
        <v>-80.154227689598144</v>
      </c>
      <c r="P27" s="1303">
        <v>2.5551218088429868E-2</v>
      </c>
      <c r="Q27" s="1375">
        <v>-7.4459764570151549E-2</v>
      </c>
      <c r="R27" s="1375">
        <v>0.13536519744995643</v>
      </c>
      <c r="S27" s="1375">
        <v>-0.16695775636190685</v>
      </c>
      <c r="T27" s="1375">
        <v>0.12606751751299797</v>
      </c>
      <c r="U27" s="1375">
        <v>-1.5009638632253046E-2</v>
      </c>
      <c r="V27" s="1375">
        <v>-9.749387133362146E-2</v>
      </c>
      <c r="W27" s="1375">
        <v>0.12268869417608126</v>
      </c>
      <c r="X27" s="1375">
        <v>-3.7368974137920841E-2</v>
      </c>
      <c r="Y27" s="1302">
        <v>-8.0567944125778279E-2</v>
      </c>
      <c r="Z27" s="1314">
        <v>1</v>
      </c>
      <c r="AA27" s="1313">
        <v>-20.362245998985379</v>
      </c>
      <c r="AB27" s="1292">
        <f>SQRT(AD27)</f>
        <v>20.362245998985379</v>
      </c>
      <c r="AC27" s="1316">
        <f>AD27/AD$38</f>
        <v>0.17703007711025906</v>
      </c>
      <c r="AD27" s="1345">
        <f>SUMSQ(AA27)</f>
        <v>414.62106212319611</v>
      </c>
      <c r="AE27" s="1289">
        <v>1</v>
      </c>
      <c r="AF27" s="1344">
        <f>AD27/AE27</f>
        <v>414.62106212319611</v>
      </c>
      <c r="AG27" s="1343">
        <f>AF27/AF$37</f>
        <v>5728.557083625501</v>
      </c>
      <c r="AH27" s="1302">
        <f>FDIST(AG27,AE27,AE$37)</f>
        <v>2.8258415393517048E-83</v>
      </c>
      <c r="AI27" s="1289" t="str">
        <f>IF(AH27&lt;=0.05,"*","")</f>
        <v>*</v>
      </c>
      <c r="AO27" s="1292"/>
    </row>
    <row r="28" spans="1:41" ht="15" customHeight="1">
      <c r="A28" s="1308">
        <v>26</v>
      </c>
      <c r="B28" s="1307">
        <f>B27+0.1</f>
        <v>-0.49999999999999845</v>
      </c>
      <c r="C28" s="1292">
        <f>(B28-B$103)/B$104*E$104</f>
        <v>-1.979797979797977</v>
      </c>
      <c r="D28" s="1306">
        <v>10.16</v>
      </c>
      <c r="E28" s="1305">
        <v>10.275473749426812</v>
      </c>
      <c r="F28" s="1304">
        <f>EXP(-(C28^2)/2)</f>
        <v>0.14088659254764296</v>
      </c>
      <c r="G28" s="1289">
        <f>$F28*$C28</f>
        <v>-0.27892699130644427</v>
      </c>
      <c r="H28" s="1289">
        <f>$F28*$C28^2</f>
        <v>0.5522190938996262</v>
      </c>
      <c r="I28" s="1289">
        <f>$F28*$C28^3</f>
        <v>-1.0932822465083494</v>
      </c>
      <c r="J28" s="1289">
        <f>$F28*$C28^4</f>
        <v>2.1644779829862242</v>
      </c>
      <c r="K28" s="1289">
        <f>$F28*$C28^5</f>
        <v>-4.2852291380333263</v>
      </c>
      <c r="L28" s="1289">
        <f>$F28*$C28^6</f>
        <v>8.4838879904498068</v>
      </c>
      <c r="M28" s="1289">
        <f>$F28*$C28^7</f>
        <v>-16.796384304324846</v>
      </c>
      <c r="N28" s="1289">
        <f>$F28*$C28^8</f>
        <v>33.253447713612779</v>
      </c>
      <c r="O28" s="1289">
        <f>$F28*$C28^9</f>
        <v>-65.835108604728234</v>
      </c>
      <c r="P28" s="1303">
        <v>3.008220010827576E-2</v>
      </c>
      <c r="Q28" s="1375">
        <v>-8.4225878538759402E-2</v>
      </c>
      <c r="R28" s="1375">
        <v>0.14547932121428259</v>
      </c>
      <c r="S28" s="1375">
        <v>-0.16640189754041607</v>
      </c>
      <c r="T28" s="1375">
        <v>0.10698678227049442</v>
      </c>
      <c r="U28" s="1375">
        <v>1.4858118984375814E-2</v>
      </c>
      <c r="V28" s="1375">
        <v>-0.11500235373834439</v>
      </c>
      <c r="W28" s="1375">
        <v>0.10930284270535644</v>
      </c>
      <c r="X28" s="1375">
        <v>-1.9634319092342034E-3</v>
      </c>
      <c r="Y28" s="1302">
        <v>-0.10409440583187413</v>
      </c>
      <c r="Z28" s="1314">
        <v>2</v>
      </c>
      <c r="AA28" s="1313">
        <v>27.556235770562736</v>
      </c>
      <c r="AB28" s="1292">
        <f>SQRT(AD28)</f>
        <v>27.556235770562736</v>
      </c>
      <c r="AC28" s="1316">
        <f>AD28/AD$38</f>
        <v>0.32421677574959451</v>
      </c>
      <c r="AD28" s="1345">
        <f>SUMSQ(AA28)</f>
        <v>759.34612984284126</v>
      </c>
      <c r="AE28" s="1289">
        <v>1</v>
      </c>
      <c r="AF28" s="1344">
        <f>AD28/AE28</f>
        <v>759.34612984284126</v>
      </c>
      <c r="AG28" s="1343">
        <f>AF28/AF$37</f>
        <v>10491.405402223194</v>
      </c>
      <c r="AH28" s="1302">
        <f>FDIST(AG28,AE28,AE$37)</f>
        <v>5.7794807614107426E-95</v>
      </c>
      <c r="AI28" s="1289" t="str">
        <f>IF(AH28&lt;=0.05,"*","")</f>
        <v>*</v>
      </c>
      <c r="AO28" s="1292"/>
    </row>
    <row r="29" spans="1:41" ht="15" customHeight="1">
      <c r="A29" s="1308">
        <v>27</v>
      </c>
      <c r="B29" s="1307">
        <f>B28+0.1</f>
        <v>-0.39999999999999847</v>
      </c>
      <c r="C29" s="1292">
        <f>(B29-B$103)/B$104*E$104</f>
        <v>-1.8989898989898963</v>
      </c>
      <c r="D29" s="1306">
        <v>11.120000000000001</v>
      </c>
      <c r="E29" s="1305">
        <v>11.260584103478548</v>
      </c>
      <c r="F29" s="1304">
        <f>EXP(-(C29^2)/2)</f>
        <v>0.16479033365504575</v>
      </c>
      <c r="G29" s="1289">
        <f>$F29*$C29</f>
        <v>-0.31293517906210666</v>
      </c>
      <c r="H29" s="1289">
        <f>$F29*$C29^2</f>
        <v>0.59426074407753504</v>
      </c>
      <c r="I29" s="1289">
        <f>$F29*$C29^3</f>
        <v>-1.1284951503694589</v>
      </c>
      <c r="J29" s="1289">
        <f>$F29*$C29^4</f>
        <v>2.1430008916106864</v>
      </c>
      <c r="K29" s="1289">
        <f>$F29*$C29^5</f>
        <v>-4.0695370466950358</v>
      </c>
      <c r="L29" s="1289">
        <f>$F29*$C29^6</f>
        <v>7.7280097452390457</v>
      </c>
      <c r="M29" s="1289">
        <f>$F29*$C29^7</f>
        <v>-14.675412445504431</v>
      </c>
      <c r="N29" s="1289">
        <f>$F29*$C29^8</f>
        <v>27.868459997523523</v>
      </c>
      <c r="O29" s="1289">
        <f>$F29*$C29^9</f>
        <v>-52.92192403570116</v>
      </c>
      <c r="P29" s="1303">
        <v>3.5186143005369507E-2</v>
      </c>
      <c r="Q29" s="1375">
        <v>-9.4495123109947857E-2</v>
      </c>
      <c r="R29" s="1375">
        <v>0.154565375635494</v>
      </c>
      <c r="S29" s="1375">
        <v>-0.16250644890563107</v>
      </c>
      <c r="T29" s="1375">
        <v>8.4374816560669724E-2</v>
      </c>
      <c r="U29" s="1375">
        <v>4.4029508159914223E-2</v>
      </c>
      <c r="V29" s="1375">
        <v>-0.12571336547710876</v>
      </c>
      <c r="W29" s="1375">
        <v>8.8053056469686239E-2</v>
      </c>
      <c r="X29" s="1375">
        <v>3.3547612220167777E-2</v>
      </c>
      <c r="Y29" s="1302">
        <v>-0.11723456213174149</v>
      </c>
      <c r="Z29" s="1314">
        <v>3</v>
      </c>
      <c r="AA29" s="1313">
        <v>-11.242455056511112</v>
      </c>
      <c r="AB29" s="1292">
        <f>SQRT(AD29)</f>
        <v>11.242455056511112</v>
      </c>
      <c r="AC29" s="1316">
        <f>AD29/AD$38</f>
        <v>5.3965725363685872E-2</v>
      </c>
      <c r="AD29" s="1345">
        <f>SUMSQ(AA29)</f>
        <v>126.39279569767227</v>
      </c>
      <c r="AE29" s="1289">
        <v>1</v>
      </c>
      <c r="AF29" s="1344">
        <f>AD29/AE29</f>
        <v>126.39279569767227</v>
      </c>
      <c r="AG29" s="1343">
        <f>AF29/AF$37</f>
        <v>1746.2893501005869</v>
      </c>
      <c r="AH29" s="1302">
        <f>FDIST(AG29,AE29,AE$37)</f>
        <v>9.9504949654075576E-61</v>
      </c>
      <c r="AI29" s="1289" t="str">
        <f>IF(AH29&lt;=0.05,"*","")</f>
        <v>*</v>
      </c>
      <c r="AO29" s="1292"/>
    </row>
    <row r="30" spans="1:41" ht="15" customHeight="1">
      <c r="A30" s="1308">
        <v>28</v>
      </c>
      <c r="B30" s="1307">
        <f>B29+0.1</f>
        <v>-0.29999999999999849</v>
      </c>
      <c r="C30" s="1292">
        <f>(B30-B$103)/B$104*E$104</f>
        <v>-1.8181818181818155</v>
      </c>
      <c r="D30" s="1306">
        <v>12.28</v>
      </c>
      <c r="E30" s="1305">
        <v>12.152499736049606</v>
      </c>
      <c r="F30" s="1304">
        <f>EXP(-(C30^2)/2)</f>
        <v>0.19149519501466403</v>
      </c>
      <c r="G30" s="1289">
        <f>$F30*$C30</f>
        <v>-0.34817308184484319</v>
      </c>
      <c r="H30" s="1289">
        <f>$F30*$C30^2</f>
        <v>0.63304196699062298</v>
      </c>
      <c r="I30" s="1289">
        <f>$F30*$C30^3</f>
        <v>-1.1509853945284036</v>
      </c>
      <c r="J30" s="1289">
        <f>$F30*$C30^4</f>
        <v>2.0927007173243668</v>
      </c>
      <c r="K30" s="1289">
        <f>$F30*$C30^5</f>
        <v>-3.8049103951352072</v>
      </c>
      <c r="L30" s="1289">
        <f>$F30*$C30^6</f>
        <v>6.9180189002458201</v>
      </c>
      <c r="M30" s="1289">
        <f>$F30*$C30^7</f>
        <v>-12.578216182265107</v>
      </c>
      <c r="N30" s="1289">
        <f>$F30*$C30^8</f>
        <v>22.869483967754707</v>
      </c>
      <c r="O30" s="1289">
        <f>$F30*$C30^9</f>
        <v>-41.580879941372132</v>
      </c>
      <c r="P30" s="1303">
        <v>4.0888182984880748E-2</v>
      </c>
      <c r="Q30" s="1375">
        <v>-0.10513569721085482</v>
      </c>
      <c r="R30" s="1375">
        <v>0.16224397626874607</v>
      </c>
      <c r="S30" s="1375">
        <v>-0.15501930152409582</v>
      </c>
      <c r="T30" s="1375">
        <v>5.880863019665078E-2</v>
      </c>
      <c r="U30" s="1375">
        <v>7.1072701017152531E-2</v>
      </c>
      <c r="V30" s="1375">
        <v>-0.12874407196975282</v>
      </c>
      <c r="W30" s="1375">
        <v>6.0298783296014173E-2</v>
      </c>
      <c r="X30" s="1375">
        <v>6.6070395565132833E-2</v>
      </c>
      <c r="Y30" s="1302">
        <v>-0.11848544758630686</v>
      </c>
      <c r="Z30" s="1314">
        <v>4</v>
      </c>
      <c r="AA30" s="1313">
        <v>2.3364413990765063</v>
      </c>
      <c r="AB30" s="1292">
        <f>SQRT(AD30)</f>
        <v>2.3364413990765063</v>
      </c>
      <c r="AC30" s="1316">
        <f>AD30/AD$38</f>
        <v>2.3308025490761971E-3</v>
      </c>
      <c r="AD30" s="1345">
        <f>SUMSQ(AA30)</f>
        <v>5.4589584113185818</v>
      </c>
      <c r="AE30" s="1289">
        <v>1</v>
      </c>
      <c r="AF30" s="1344">
        <f>AD30/AE30</f>
        <v>5.4589584113185818</v>
      </c>
      <c r="AG30" s="1343">
        <f>AF30/AF$37</f>
        <v>75.422977106465126</v>
      </c>
      <c r="AH30" s="1302">
        <f>FDIST(AG30,AE30,AE$37)</f>
        <v>1.5588130474960414E-13</v>
      </c>
      <c r="AI30" s="1289" t="str">
        <f>IF(AH30&lt;=0.05,"*","")</f>
        <v>*</v>
      </c>
      <c r="AO30" s="1292"/>
    </row>
    <row r="31" spans="1:41" ht="15" customHeight="1">
      <c r="A31" s="1308">
        <v>29</v>
      </c>
      <c r="B31" s="1307">
        <f>B30+0.1</f>
        <v>-0.19999999999999848</v>
      </c>
      <c r="C31" s="1292">
        <f>(B31-B$103)/B$104*E$104</f>
        <v>-1.7373737373737346</v>
      </c>
      <c r="D31" s="1306">
        <v>13.15</v>
      </c>
      <c r="E31" s="1305">
        <v>12.921537598924017</v>
      </c>
      <c r="F31" s="1304">
        <f>EXP(-(C31^2)/2)</f>
        <v>0.22107931473244868</v>
      </c>
      <c r="G31" s="1289">
        <f>$F31*$C31</f>
        <v>-0.38409739529273851</v>
      </c>
      <c r="H31" s="1289">
        <f>$F31*$C31^2</f>
        <v>0.66732072717526181</v>
      </c>
      <c r="I31" s="1289">
        <f>$F31*$C31^3</f>
        <v>-1.1593855057994429</v>
      </c>
      <c r="J31" s="1289">
        <f>$F31*$C31^4</f>
        <v>2.0142859292677158</v>
      </c>
      <c r="K31" s="1289">
        <f>$F31*$C31^5</f>
        <v>-3.4995674730711772</v>
      </c>
      <c r="L31" s="1289">
        <f>$F31*$C31^6</f>
        <v>6.0800566198812271</v>
      </c>
      <c r="M31" s="1289">
        <f>$F31*$C31^7</f>
        <v>-10.563330693126964</v>
      </c>
      <c r="N31" s="1289">
        <f>$F31*$C31^8</f>
        <v>18.352453325432673</v>
      </c>
      <c r="O31" s="1289">
        <f>$F31*$C31^9</f>
        <v>-31.885070423983986</v>
      </c>
      <c r="P31" s="1303">
        <v>4.7205004147807254E-2</v>
      </c>
      <c r="Q31" s="1375">
        <v>-0.11598354254442585</v>
      </c>
      <c r="R31" s="1375">
        <v>0.16812827469952096</v>
      </c>
      <c r="S31" s="1375">
        <v>-0.14380422594971989</v>
      </c>
      <c r="T31" s="1375">
        <v>3.1071718611756182E-2</v>
      </c>
      <c r="U31" s="1375">
        <v>9.4550558902990703E-2</v>
      </c>
      <c r="V31" s="1375">
        <v>-0.12366359961826615</v>
      </c>
      <c r="W31" s="1375">
        <v>2.7983588264106921E-2</v>
      </c>
      <c r="X31" s="1375">
        <v>9.2645016219269766E-2</v>
      </c>
      <c r="Y31" s="1302">
        <v>-0.10752627041208832</v>
      </c>
      <c r="Z31" s="1314">
        <v>5</v>
      </c>
      <c r="AA31" s="1313">
        <v>5.0970229837288388</v>
      </c>
      <c r="AB31" s="1292">
        <f>SQRT(AD31)</f>
        <v>5.0970229837288388</v>
      </c>
      <c r="AC31" s="1316">
        <f>AD31/AD$38</f>
        <v>1.109248582923701E-2</v>
      </c>
      <c r="AD31" s="1345">
        <f>SUMSQ(AA31)</f>
        <v>25.979643296660033</v>
      </c>
      <c r="AE31" s="1289">
        <v>1</v>
      </c>
      <c r="AF31" s="1344">
        <f>AD31/AE31</f>
        <v>25.979643296660033</v>
      </c>
      <c r="AG31" s="1343">
        <f>AF31/AF$37</f>
        <v>358.94430657969099</v>
      </c>
      <c r="AH31" s="1302">
        <f>FDIST(AG31,AE31,AE$37)</f>
        <v>3.6582312022943062E-33</v>
      </c>
      <c r="AI31" s="1289" t="str">
        <f>IF(AH31&lt;=0.05,"*","")</f>
        <v>*</v>
      </c>
      <c r="AO31" s="1292"/>
    </row>
    <row r="32" spans="1:41" ht="15" customHeight="1">
      <c r="A32" s="1308">
        <v>30</v>
      </c>
      <c r="B32" s="1307">
        <f>B31+0.1</f>
        <v>-9.9999999999998479E-2</v>
      </c>
      <c r="C32" s="1292">
        <f>(B32-B$103)/B$104*E$104</f>
        <v>-1.6565656565656537</v>
      </c>
      <c r="D32" s="1306">
        <v>13.59</v>
      </c>
      <c r="E32" s="1305">
        <v>13.54352124654177</v>
      </c>
      <c r="F32" s="1304">
        <f>EXP(-(C32^2)/2)</f>
        <v>0.25357265557396541</v>
      </c>
      <c r="G32" s="1289">
        <f>$F32*$C32</f>
        <v>-0.4200597526679824</v>
      </c>
      <c r="H32" s="1289">
        <f>$F32*$C32^2</f>
        <v>0.69585655997524232</v>
      </c>
      <c r="I32" s="1289">
        <f>$F32*$C32^3</f>
        <v>-1.1527320791509046</v>
      </c>
      <c r="J32" s="1289">
        <f>$F32*$C32^4</f>
        <v>1.9095763735429092</v>
      </c>
      <c r="K32" s="1289">
        <f>$F32*$C32^5</f>
        <v>-3.1633386390003695</v>
      </c>
      <c r="L32" s="1289">
        <f>$F32*$C32^6</f>
        <v>5.2402781494551478</v>
      </c>
      <c r="M32" s="1289">
        <f>$F32*$C32^7</f>
        <v>-8.6808648132388164</v>
      </c>
      <c r="N32" s="1289">
        <f>$F32*$C32^8</f>
        <v>14.380422518900641</v>
      </c>
      <c r="O32" s="1289">
        <f>$F32*$C32^9</f>
        <v>-23.822114071714154</v>
      </c>
      <c r="P32" s="1303">
        <v>5.4143004164028334E-2</v>
      </c>
      <c r="Q32" s="1375">
        <v>-0.12684287577018327</v>
      </c>
      <c r="R32" s="1375">
        <v>0.17183917046669964</v>
      </c>
      <c r="S32" s="1375">
        <v>-0.12886347604051437</v>
      </c>
      <c r="T32" s="1375">
        <v>2.1342560724063831E-3</v>
      </c>
      <c r="U32" s="1375">
        <v>0.11311445719728357</v>
      </c>
      <c r="V32" s="1375">
        <v>-0.11056623577788668</v>
      </c>
      <c r="W32" s="1375">
        <v>-6.4856026865391433E-3</v>
      </c>
      <c r="X32" s="1375">
        <v>0.11073954795265825</v>
      </c>
      <c r="Y32" s="1302">
        <v>-8.5317563425209075E-2</v>
      </c>
      <c r="Z32" s="1314">
        <v>6</v>
      </c>
      <c r="AA32" s="1313">
        <v>-2.4617990284907472</v>
      </c>
      <c r="AB32" s="1292">
        <f>SQRT(AD32)</f>
        <v>2.4617990284907472</v>
      </c>
      <c r="AC32" s="1316">
        <f>AD32/AD$38</f>
        <v>2.5876223322927388E-3</v>
      </c>
      <c r="AD32" s="1345">
        <f>SUMSQ(AA32)</f>
        <v>6.060454456677987</v>
      </c>
      <c r="AE32" s="1289">
        <v>1</v>
      </c>
      <c r="AF32" s="1344">
        <f>AD32/AE32</f>
        <v>6.060454456677987</v>
      </c>
      <c r="AG32" s="1343">
        <f>AF32/AF$37</f>
        <v>83.733467687362165</v>
      </c>
      <c r="AH32" s="1302">
        <f>FDIST(AG32,AE32,AE$37)</f>
        <v>1.6723369305019124E-14</v>
      </c>
      <c r="AI32" s="1289" t="str">
        <f>IF(AH32&lt;=0.05,"*","")</f>
        <v>*</v>
      </c>
      <c r="AO32" s="1292"/>
    </row>
    <row r="33" spans="1:41" ht="15" customHeight="1">
      <c r="A33" s="1308">
        <v>31</v>
      </c>
      <c r="B33" s="1307">
        <f>B32+0.1</f>
        <v>1.5265566588595902E-15</v>
      </c>
      <c r="C33" s="1292">
        <f>(B33-B$103)/B$104*E$104</f>
        <v>-1.5757575757575728</v>
      </c>
      <c r="D33" s="1306">
        <v>13.74</v>
      </c>
      <c r="E33" s="1305">
        <v>14.001594787147404</v>
      </c>
      <c r="F33" s="1304">
        <f>EXP(-(C33^2)/2)</f>
        <v>0.28894874233042644</v>
      </c>
      <c r="G33" s="1289">
        <f>$F33*$C33</f>
        <v>-0.45531316973279234</v>
      </c>
      <c r="H33" s="1289">
        <f>$F33*$C33^2</f>
        <v>0.71746317654864111</v>
      </c>
      <c r="I33" s="1289">
        <f>$F33*$C33^3</f>
        <v>-1.1305480357736142</v>
      </c>
      <c r="J33" s="1289">
        <f>$F33*$C33^4</f>
        <v>1.7814696321281158</v>
      </c>
      <c r="K33" s="1289">
        <f>$F33*$C33^5</f>
        <v>-2.8071642688079348</v>
      </c>
      <c r="L33" s="1289">
        <f>$F33*$C33^6</f>
        <v>4.4234103629700705</v>
      </c>
      <c r="M33" s="1289">
        <f>$F33*$C33^7</f>
        <v>-6.9702223901346434</v>
      </c>
      <c r="N33" s="1289">
        <f>$F33*$C33^8</f>
        <v>10.983380735969719</v>
      </c>
      <c r="O33" s="1289">
        <f>$F33*$C33^9</f>
        <v>-17.307145402134072</v>
      </c>
      <c r="P33" s="1303">
        <v>6.169653002913629E-2</v>
      </c>
      <c r="Q33" s="1375">
        <v>-0.13748813462401213</v>
      </c>
      <c r="R33" s="1375">
        <v>0.17302244343256326</v>
      </c>
      <c r="S33" s="1375">
        <v>-0.11035568696332401</v>
      </c>
      <c r="T33" s="1375">
        <v>-2.6881369956555951E-2</v>
      </c>
      <c r="U33" s="1375">
        <v>0.12560244163139986</v>
      </c>
      <c r="V33" s="1375">
        <v>-9.010879611916793E-2</v>
      </c>
      <c r="W33" s="1375">
        <v>-4.0413046862957637E-2</v>
      </c>
      <c r="X33" s="1375">
        <v>0.1185235495317975</v>
      </c>
      <c r="Y33" s="1302">
        <v>-5.406072895007133E-2</v>
      </c>
      <c r="Z33" s="1314">
        <v>7</v>
      </c>
      <c r="AA33" s="1313">
        <v>-0.14015062879316958</v>
      </c>
      <c r="AB33" s="1292">
        <f>SQRT(AD33)</f>
        <v>0.14015062879316958</v>
      </c>
      <c r="AC33" s="1316">
        <f>AD33/AD$38</f>
        <v>8.3865974915011816E-6</v>
      </c>
      <c r="AD33" s="1345">
        <f>SUMSQ(AA33)</f>
        <v>1.9642198751120814E-2</v>
      </c>
      <c r="AE33" s="1289">
        <v>1</v>
      </c>
      <c r="AF33" s="1344">
        <f>AD33/AE33</f>
        <v>1.9642198751120814E-2</v>
      </c>
      <c r="AG33" s="1343">
        <f>AF33/AF$37</f>
        <v>0.27138384195320903</v>
      </c>
      <c r="AH33" s="1302">
        <f>FDIST(AG33,AE33,AE$37)</f>
        <v>0.60368439028630017</v>
      </c>
      <c r="AI33" s="1289" t="str">
        <f>IF(AH33&lt;=0.05,"*","")</f>
        <v/>
      </c>
      <c r="AO33" s="1292"/>
    </row>
    <row r="34" spans="1:41" ht="15" customHeight="1">
      <c r="A34" s="1308">
        <v>32</v>
      </c>
      <c r="B34" s="1307">
        <f>B33+0.1</f>
        <v>0.10000000000000153</v>
      </c>
      <c r="C34" s="1292">
        <f>(B34-B$103)/B$104*E$104</f>
        <v>-1.4949494949494921</v>
      </c>
      <c r="D34" s="1306">
        <v>13.88</v>
      </c>
      <c r="E34" s="1305">
        <v>14.287546221635948</v>
      </c>
      <c r="F34" s="1304">
        <f>EXP(-(C34^2)/2)</f>
        <v>0.32711712354863837</v>
      </c>
      <c r="G34" s="1289">
        <f>$F34*$C34</f>
        <v>-0.48902357863836754</v>
      </c>
      <c r="H34" s="1289">
        <f>$F34*$C34^2</f>
        <v>0.73106555190382083</v>
      </c>
      <c r="I34" s="1289">
        <f>$F34*$C34^3</f>
        <v>-1.0929060775935888</v>
      </c>
      <c r="J34" s="1289">
        <f>$F34*$C34^4</f>
        <v>1.6338393887257661</v>
      </c>
      <c r="K34" s="1289">
        <f>$F34*$C34^5</f>
        <v>-2.4425073690041708</v>
      </c>
      <c r="L34" s="1289">
        <f>$F34*$C34^6</f>
        <v>3.6514251577031986</v>
      </c>
      <c r="M34" s="1289">
        <f>$F34*$C34^7</f>
        <v>-5.4586961953542659</v>
      </c>
      <c r="N34" s="1289">
        <f>$F34*$C34^8</f>
        <v>8.1604751203275754</v>
      </c>
      <c r="O34" s="1289">
        <f>$F34*$C34^9</f>
        <v>-12.199498159681605</v>
      </c>
      <c r="P34" s="1303">
        <v>6.9846268487938776E-2</v>
      </c>
      <c r="Q34" s="1375">
        <v>-0.14766746073610343</v>
      </c>
      <c r="R34" s="1375">
        <v>0.17136713050346508</v>
      </c>
      <c r="S34" s="1375">
        <v>-8.8607254873917934E-2</v>
      </c>
      <c r="T34" s="1375">
        <v>-5.4749131443350196E-2</v>
      </c>
      <c r="U34" s="1375">
        <v>0.13113432179139672</v>
      </c>
      <c r="V34" s="1375">
        <v>-6.3504837118466953E-2</v>
      </c>
      <c r="W34" s="1375">
        <v>-7.1030572180373064E-2</v>
      </c>
      <c r="X34" s="1375">
        <v>0.11508914729296746</v>
      </c>
      <c r="Y34" s="1302">
        <v>-1.7011629819558463E-2</v>
      </c>
      <c r="Z34" s="1314">
        <v>8</v>
      </c>
      <c r="AA34" s="1313">
        <v>2.6883254466961151</v>
      </c>
      <c r="AB34" s="1292">
        <f>SQRT(AD34)</f>
        <v>2.6883254466961151</v>
      </c>
      <c r="AC34" s="1316">
        <f>AD34/AD$38</f>
        <v>3.0857403860389799E-3</v>
      </c>
      <c r="AD34" s="1345">
        <f>SUMSQ(AA34)</f>
        <v>7.227093707353867</v>
      </c>
      <c r="AE34" s="1289">
        <v>1</v>
      </c>
      <c r="AF34" s="1344">
        <f>AD34/AE34</f>
        <v>7.227093707353867</v>
      </c>
      <c r="AG34" s="1343">
        <f>AF34/AF$37</f>
        <v>99.852184641275841</v>
      </c>
      <c r="AH34" s="1302">
        <f>FDIST(AG34,AE34,AE$37)</f>
        <v>2.9593393836477199E-16</v>
      </c>
      <c r="AI34" s="1289" t="str">
        <f>IF(AH34&lt;=0.05,"*","")</f>
        <v>*</v>
      </c>
      <c r="AO34" s="1292"/>
    </row>
    <row r="35" spans="1:41" ht="15" customHeight="1">
      <c r="A35" s="1308">
        <v>33</v>
      </c>
      <c r="B35" s="1307">
        <f>B34+0.1</f>
        <v>0.20000000000000154</v>
      </c>
      <c r="C35" s="1292">
        <f>(B35-B$103)/B$104*E$104</f>
        <v>-1.4141414141414113</v>
      </c>
      <c r="D35" s="1306">
        <v>14.669999999999998</v>
      </c>
      <c r="E35" s="1305">
        <v>14.402494813203726</v>
      </c>
      <c r="F35" s="1304">
        <f>EXP(-(C35^2)/2)</f>
        <v>0.36791697797475509</v>
      </c>
      <c r="G35" s="1289">
        <f>$F35*$C35</f>
        <v>-0.52028663551985466</v>
      </c>
      <c r="H35" s="1289">
        <f>$F35*$C35^2</f>
        <v>0.73575887851292421</v>
      </c>
      <c r="I35" s="1289">
        <f>$F35*$C35^3</f>
        <v>-1.0404671009273656</v>
      </c>
      <c r="J35" s="1289">
        <f>$F35*$C35^4</f>
        <v>1.4713676174730392</v>
      </c>
      <c r="K35" s="1289">
        <f>$F35*$C35^5</f>
        <v>-2.0807218832952028</v>
      </c>
      <c r="L35" s="1289">
        <f>$F35*$C35^6</f>
        <v>2.9424349864780588</v>
      </c>
      <c r="M35" s="1289">
        <f>$F35*$C35^7</f>
        <v>-4.1610191727972463</v>
      </c>
      <c r="N35" s="1289">
        <f>$F35*$C35^8</f>
        <v>5.8842695372890237</v>
      </c>
      <c r="O35" s="1289">
        <f>$F35*$C35^9</f>
        <v>-8.3211892446511282</v>
      </c>
      <c r="P35" s="1303">
        <v>7.8557880878023872E-2</v>
      </c>
      <c r="Q35" s="1375">
        <v>-0.15710777491766434</v>
      </c>
      <c r="R35" s="1375">
        <v>0.16662429285761243</v>
      </c>
      <c r="S35" s="1375">
        <v>-6.4115592095077459E-2</v>
      </c>
      <c r="T35" s="1375">
        <v>-8.020029854231385E-2</v>
      </c>
      <c r="U35" s="1375">
        <v>0.12919565352316004</v>
      </c>
      <c r="V35" s="1375">
        <v>-3.2471714727084731E-2</v>
      </c>
      <c r="W35" s="1375">
        <v>-9.5738149837223493E-2</v>
      </c>
      <c r="X35" s="1375">
        <v>0.10059084780175603</v>
      </c>
      <c r="Y35" s="1302">
        <v>2.1840202870673189E-2</v>
      </c>
      <c r="Z35" s="1312">
        <v>9</v>
      </c>
      <c r="AA35" s="1311">
        <v>-1.3911190671335592</v>
      </c>
      <c r="AB35" s="1342">
        <f>SQRT(AD35)</f>
        <v>1.3911190671335592</v>
      </c>
      <c r="AC35" s="1341">
        <f>AD35/AD$38</f>
        <v>8.2627441469320089E-4</v>
      </c>
      <c r="AD35" s="1340">
        <f>SUMSQ(AA35)</f>
        <v>1.9352122589425438</v>
      </c>
      <c r="AE35" s="1295">
        <v>1</v>
      </c>
      <c r="AF35" s="1339">
        <f>AD35/AE35</f>
        <v>1.9352122589425438</v>
      </c>
      <c r="AG35" s="1338">
        <f>AF35/AF$37</f>
        <v>26.73760430190169</v>
      </c>
      <c r="AH35" s="1294">
        <f>FDIST(AG35,AE35,AE$37)</f>
        <v>1.3976979360171335E-6</v>
      </c>
      <c r="AI35" s="1289" t="str">
        <f>IF(AH35&lt;=0.05,"*","")</f>
        <v>*</v>
      </c>
      <c r="AO35" s="1292"/>
    </row>
    <row r="36" spans="1:41" ht="15" customHeight="1">
      <c r="A36" s="1308">
        <v>34</v>
      </c>
      <c r="B36" s="1307">
        <f>B35+0.1</f>
        <v>0.30000000000000154</v>
      </c>
      <c r="C36" s="1292">
        <f>(B36-B$103)/B$104*E$104</f>
        <v>-1.3333333333333302</v>
      </c>
      <c r="D36" s="1306">
        <v>14.219999999999999</v>
      </c>
      <c r="E36" s="1305">
        <v>14.356851588532304</v>
      </c>
      <c r="F36" s="1304">
        <f>EXP(-(C36^2)/2)</f>
        <v>0.41111229050718917</v>
      </c>
      <c r="G36" s="1289">
        <f>$F36*$C36</f>
        <v>-0.5481497206762509</v>
      </c>
      <c r="H36" s="1289">
        <f>$F36*$C36^2</f>
        <v>0.73086629423499949</v>
      </c>
      <c r="I36" s="1289">
        <f>$F36*$C36^3</f>
        <v>-0.97448839231333029</v>
      </c>
      <c r="J36" s="1289">
        <f>$F36*$C36^4</f>
        <v>1.2993178564177705</v>
      </c>
      <c r="K36" s="1289">
        <f>$F36*$C36^5</f>
        <v>-1.7324238085570234</v>
      </c>
      <c r="L36" s="1289">
        <f>$F36*$C36^6</f>
        <v>2.3098984114093586</v>
      </c>
      <c r="M36" s="1289">
        <f>$F36*$C36^7</f>
        <v>-3.0798645485458045</v>
      </c>
      <c r="N36" s="1289">
        <f>$F36*$C36^8</f>
        <v>4.1064860647277293</v>
      </c>
      <c r="O36" s="1289">
        <f>$F36*$C36^9</f>
        <v>-5.4753147529702932</v>
      </c>
      <c r="P36" s="1303">
        <v>8.7780973095977308E-2</v>
      </c>
      <c r="Q36" s="1375">
        <v>-0.16552142042076051</v>
      </c>
      <c r="R36" s="1375">
        <v>0.15862517608940696</v>
      </c>
      <c r="S36" s="1375">
        <v>-3.7543011360179686E-2</v>
      </c>
      <c r="T36" s="1375">
        <v>-0.10199380548528612</v>
      </c>
      <c r="U36" s="1375">
        <v>0.11970258512323755</v>
      </c>
      <c r="V36" s="1375">
        <v>8.6937911586885269E-4</v>
      </c>
      <c r="W36" s="1375">
        <v>-0.11234663804911045</v>
      </c>
      <c r="X36" s="1375">
        <v>7.6282054094686566E-2</v>
      </c>
      <c r="Y36" s="1302">
        <v>5.8197098301689454E-2</v>
      </c>
      <c r="Z36" s="1337" t="s">
        <v>493</v>
      </c>
      <c r="AA36" s="1336"/>
      <c r="AB36" s="1335"/>
      <c r="AC36" s="1334" t="s">
        <v>5</v>
      </c>
      <c r="AD36" s="1333">
        <f>SUM(AD26:AD35)</f>
        <v>2335.5798779515608</v>
      </c>
      <c r="AE36" s="906">
        <f>10-1</f>
        <v>9</v>
      </c>
      <c r="AF36" s="1332">
        <f>AD36/AE36</f>
        <v>259.50887532795122</v>
      </c>
      <c r="AG36" s="1331">
        <f>AF36/AF$37</f>
        <v>3585.470063703387</v>
      </c>
      <c r="AH36" s="1328">
        <f>FDIST(AG36,AE36,AE$37)</f>
        <v>6.0436042373444928E-111</v>
      </c>
      <c r="AI36" s="1289" t="str">
        <f>IF(AH36&lt;=0.05,"*","")</f>
        <v>*</v>
      </c>
      <c r="AO36" s="1292"/>
    </row>
    <row r="37" spans="1:41" ht="15" customHeight="1">
      <c r="A37" s="1308">
        <v>35</v>
      </c>
      <c r="B37" s="1307">
        <f>B36+0.1</f>
        <v>0.40000000000000158</v>
      </c>
      <c r="C37" s="1292">
        <f>(B37-B$103)/B$104*E$104</f>
        <v>-1.2525252525252493</v>
      </c>
      <c r="D37" s="1306">
        <v>14.580000000000002</v>
      </c>
      <c r="E37" s="1305">
        <v>14.169529843877996</v>
      </c>
      <c r="F37" s="1304">
        <f>EXP(-(C37^2)/2)</f>
        <v>0.45638900403591753</v>
      </c>
      <c r="G37" s="1289">
        <f>$F37*$C37</f>
        <v>-0.57163875252983465</v>
      </c>
      <c r="H37" s="1289">
        <f>$F37*$C37^2</f>
        <v>0.71599197286564964</v>
      </c>
      <c r="I37" s="1289">
        <f>$F37*$C37^3</f>
        <v>-0.89679802661959918</v>
      </c>
      <c r="J37" s="1289">
        <f>$F37*$C37^4</f>
        <v>1.1232621747558587</v>
      </c>
      <c r="K37" s="1289">
        <f>$F37*$C37^5</f>
        <v>-1.4069142390881426</v>
      </c>
      <c r="L37" s="1289">
        <f>$F37*$C37^6</f>
        <v>1.7621956125952447</v>
      </c>
      <c r="M37" s="1289">
        <f>$F37*$C37^7</f>
        <v>-2.2071945046647454</v>
      </c>
      <c r="N37" s="1289">
        <f>$F37*$C37^8</f>
        <v>2.7645668543275526</v>
      </c>
      <c r="O37" s="1289">
        <f>$F37*$C37^9</f>
        <v>-3.4626897973395518</v>
      </c>
      <c r="P37" s="1303">
        <v>9.7448487456193236E-2</v>
      </c>
      <c r="Q37" s="1375">
        <v>-0.17261425978573727</v>
      </c>
      <c r="R37" s="1375">
        <v>0.14729767170649108</v>
      </c>
      <c r="S37" s="1375">
        <v>-9.7004965583214978E-3</v>
      </c>
      <c r="T37" s="1375">
        <v>-0.11899200700030152</v>
      </c>
      <c r="U37" s="1375">
        <v>0.10304032570481092</v>
      </c>
      <c r="V37" s="1375">
        <v>3.413568959896001E-2</v>
      </c>
      <c r="W37" s="1375">
        <v>-0.11929835596072239</v>
      </c>
      <c r="X37" s="1375">
        <v>4.4436443632417069E-2</v>
      </c>
      <c r="Y37" s="1302">
        <v>8.7938125629579617E-2</v>
      </c>
      <c r="Z37" s="25" t="s">
        <v>492</v>
      </c>
      <c r="AA37" s="18" t="s">
        <v>491</v>
      </c>
      <c r="AB37" s="20" t="s">
        <v>490</v>
      </c>
      <c r="AC37" s="1330" t="s">
        <v>6</v>
      </c>
      <c r="AD37" s="1329">
        <f>SUMSQ(y)-SUMSQ(y_hat)</f>
        <v>6.5140130483732719</v>
      </c>
      <c r="AE37" s="904">
        <f>100-10</f>
        <v>90</v>
      </c>
      <c r="AF37" s="1302">
        <f>AD37/AE37</f>
        <v>7.237792275970302E-2</v>
      </c>
      <c r="AG37" s="907" t="s">
        <v>191</v>
      </c>
      <c r="AH37" s="1328">
        <f>SQRT(AF37)</f>
        <v>0.26903145310484239</v>
      </c>
      <c r="AO37" s="1292"/>
    </row>
    <row r="38" spans="1:41" ht="15" customHeight="1">
      <c r="A38" s="1308">
        <v>36</v>
      </c>
      <c r="B38" s="1307">
        <f>B37+0.1</f>
        <v>0.50000000000000155</v>
      </c>
      <c r="C38" s="1292">
        <f>(B38-B$103)/B$104*E$104</f>
        <v>-1.1717171717171686</v>
      </c>
      <c r="D38" s="1306">
        <v>13.76</v>
      </c>
      <c r="E38" s="1305">
        <v>13.86645657731264</v>
      </c>
      <c r="F38" s="1304">
        <f>EXP(-(C38^2)/2)</f>
        <v>0.50335451031720979</v>
      </c>
      <c r="G38" s="1289">
        <f>$F38*$C38</f>
        <v>-0.58978912319996146</v>
      </c>
      <c r="H38" s="1289">
        <f>$F38*$C38^2</f>
        <v>0.69106604334540744</v>
      </c>
      <c r="I38" s="1289">
        <f>$F38*$C38^3</f>
        <v>-0.80973394977845503</v>
      </c>
      <c r="J38" s="1289">
        <f>$F38*$C38^4</f>
        <v>0.94877917347778318</v>
      </c>
      <c r="K38" s="1289">
        <f>$F38*$C38^5</f>
        <v>-1.1117008497315408</v>
      </c>
      <c r="L38" s="1289">
        <f>$F38*$C38^6</f>
        <v>1.3025989754430141</v>
      </c>
      <c r="M38" s="1289">
        <f>$F38*$C38^7</f>
        <v>-1.5262775873877699</v>
      </c>
      <c r="N38" s="1289">
        <f>$F38*$C38^8</f>
        <v>1.7883656579493012</v>
      </c>
      <c r="O38" s="1289">
        <f>$F38*$C38^9</f>
        <v>-2.095458750728469</v>
      </c>
      <c r="P38" s="1303">
        <v>0.10747659398210334</v>
      </c>
      <c r="Q38" s="1375">
        <v>-0.17809501626733545</v>
      </c>
      <c r="R38" s="1375">
        <v>0.13267995801667382</v>
      </c>
      <c r="S38" s="1375">
        <v>1.8478758221576474E-2</v>
      </c>
      <c r="T38" s="1375">
        <v>-0.13023690540401514</v>
      </c>
      <c r="U38" s="1375">
        <v>8.0069549910810736E-2</v>
      </c>
      <c r="V38" s="1375">
        <v>6.4858190456346457E-2</v>
      </c>
      <c r="W38" s="1375">
        <v>-0.11584134458996274</v>
      </c>
      <c r="X38" s="1375">
        <v>8.1549423783601159E-3</v>
      </c>
      <c r="Y38" s="1302">
        <v>0.10760694989192104</v>
      </c>
      <c r="Z38" s="1297">
        <f>FINV(0.05,1,90)</f>
        <v>3.9468757306805347</v>
      </c>
      <c r="AA38" s="1309">
        <f>TINV(0.05,90)</f>
        <v>1.986674540703772</v>
      </c>
      <c r="AB38" s="1294">
        <f>SQRT(Z38*AF37)</f>
        <v>0.5344779385319306</v>
      </c>
      <c r="AC38" s="1327" t="s">
        <v>7</v>
      </c>
      <c r="AD38" s="1326">
        <f>SUMSQ(y)-COUNT(y)*AVERAGE(y)^2</f>
        <v>2342.0938909999968</v>
      </c>
      <c r="AE38" s="1323">
        <f>100-1</f>
        <v>99</v>
      </c>
      <c r="AF38" s="1325">
        <f>AD38/AE38</f>
        <v>23.657514050505018</v>
      </c>
      <c r="AG38" s="1324" t="s">
        <v>370</v>
      </c>
      <c r="AH38" s="1302">
        <f>AD36/AD38</f>
        <v>0.99721872249722032</v>
      </c>
      <c r="AM38" s="1323"/>
      <c r="AO38" s="1292"/>
    </row>
    <row r="39" spans="1:41" ht="15" customHeight="1">
      <c r="A39" s="1308">
        <v>37</v>
      </c>
      <c r="B39" s="1307">
        <f>B38+0.1</f>
        <v>0.60000000000000153</v>
      </c>
      <c r="C39" s="1292">
        <f>(B39-B$103)/B$104*E$104</f>
        <v>-1.0909090909090877</v>
      </c>
      <c r="D39" s="1306">
        <v>13.1</v>
      </c>
      <c r="E39" s="1305">
        <v>13.478507779015217</v>
      </c>
      <c r="F39" s="1304">
        <f>EXP(-(C39^2)/2)</f>
        <v>0.55153977449716618</v>
      </c>
      <c r="G39" s="1289">
        <f>$F39*$C39</f>
        <v>-0.60167975399690676</v>
      </c>
      <c r="H39" s="1289">
        <f>$F39*$C39^2</f>
        <v>0.65637791345116925</v>
      </c>
      <c r="I39" s="1289">
        <f>$F39*$C39^3</f>
        <v>-0.71604863285581888</v>
      </c>
      <c r="J39" s="1289">
        <f>$F39*$C39^4</f>
        <v>0.78114396311543655</v>
      </c>
      <c r="K39" s="1289">
        <f>$F39*$C39^5</f>
        <v>-0.85215705067138281</v>
      </c>
      <c r="L39" s="1289">
        <f>$F39*$C39^6</f>
        <v>0.92962587345968772</v>
      </c>
      <c r="M39" s="1289">
        <f>$F39*$C39^7</f>
        <v>-1.0141373165014744</v>
      </c>
      <c r="N39" s="1289">
        <f>$F39*$C39^8</f>
        <v>1.1063316180016054</v>
      </c>
      <c r="O39" s="1289">
        <f>$F39*$C39^9</f>
        <v>-1.2069072196381117</v>
      </c>
      <c r="P39" s="1303">
        <v>0.11776514403587331</v>
      </c>
      <c r="Q39" s="1375">
        <v>-0.1816855573639925</v>
      </c>
      <c r="R39" s="1375">
        <v>0.11493024194293781</v>
      </c>
      <c r="S39" s="1375">
        <v>4.5975452255072671E-2</v>
      </c>
      <c r="T39" s="1375">
        <v>-0.13502136644230317</v>
      </c>
      <c r="U39" s="1375">
        <v>5.2097311657870765E-2</v>
      </c>
      <c r="V39" s="1375">
        <v>9.0676529099319295E-2</v>
      </c>
      <c r="W39" s="1375">
        <v>-0.10213612506870311</v>
      </c>
      <c r="X39" s="1375">
        <v>-2.8927401888278814E-2</v>
      </c>
      <c r="Y39" s="1302">
        <v>0.11484199951113483</v>
      </c>
      <c r="Z39" s="662" t="s">
        <v>489</v>
      </c>
      <c r="AA39" s="809"/>
      <c r="AB39" s="809"/>
      <c r="AC39" s="809"/>
      <c r="AD39" s="809"/>
      <c r="AE39" s="809"/>
      <c r="AF39" s="809"/>
      <c r="AG39" s="809"/>
      <c r="AH39" s="808"/>
      <c r="AI39"/>
      <c r="AO39" s="1292"/>
    </row>
    <row r="40" spans="1:41" ht="15" customHeight="1">
      <c r="A40" s="1308">
        <v>38</v>
      </c>
      <c r="B40" s="1307">
        <f>B39+0.1</f>
        <v>0.70000000000000151</v>
      </c>
      <c r="C40" s="1292">
        <f>(B40-B$103)/B$104*E$104</f>
        <v>-1.0101010101010068</v>
      </c>
      <c r="D40" s="1306">
        <v>13.14</v>
      </c>
      <c r="E40" s="1305">
        <v>13.039051915477806</v>
      </c>
      <c r="F40" s="1304">
        <f>EXP(-(C40^2)/2)</f>
        <v>0.60040429522850736</v>
      </c>
      <c r="G40" s="1289">
        <f>$F40*$C40</f>
        <v>-0.60646898507929836</v>
      </c>
      <c r="H40" s="1289">
        <f>$F40*$C40^2</f>
        <v>0.61259493442353186</v>
      </c>
      <c r="I40" s="1289">
        <f>$F40*$C40^3</f>
        <v>-0.61878276204396954</v>
      </c>
      <c r="J40" s="1289">
        <f>$F40*$C40^4</f>
        <v>0.62503309297370457</v>
      </c>
      <c r="K40" s="1289">
        <f>$F40*$C40^5</f>
        <v>-0.63134655855929556</v>
      </c>
      <c r="L40" s="1289">
        <f>$F40*$C40^6</f>
        <v>0.63772379652453892</v>
      </c>
      <c r="M40" s="1289">
        <f>$F40*$C40^7</f>
        <v>-0.64416545103488565</v>
      </c>
      <c r="N40" s="1289">
        <f>$F40*$C40^8</f>
        <v>0.65067217276250866</v>
      </c>
      <c r="O40" s="1289">
        <f>$F40*$C40^9</f>
        <v>-0.6572446189520269</v>
      </c>
      <c r="P40" s="1303">
        <v>0.12819872940587965</v>
      </c>
      <c r="Q40" s="1375">
        <v>-0.18313173219831083</v>
      </c>
      <c r="R40" s="1375">
        <v>9.4331646193200155E-2</v>
      </c>
      <c r="S40" s="1375">
        <v>7.1728594602370174E-2</v>
      </c>
      <c r="T40" s="1375">
        <v>-0.13294968861453318</v>
      </c>
      <c r="U40" s="1375">
        <v>2.0811848150575341E-2</v>
      </c>
      <c r="V40" s="1375">
        <v>0.10953719185837502</v>
      </c>
      <c r="W40" s="1375">
        <v>-7.9279382548675656E-2</v>
      </c>
      <c r="X40" s="1375">
        <v>-6.3007450946670485E-2</v>
      </c>
      <c r="Y40" s="1302">
        <v>0.10869184493317743</v>
      </c>
      <c r="Z40" s="18" t="s">
        <v>86</v>
      </c>
      <c r="AA40" s="18" t="s">
        <v>488</v>
      </c>
      <c r="AB40" s="18" t="s">
        <v>183</v>
      </c>
      <c r="AC40" s="1322"/>
      <c r="AD40" s="1322"/>
      <c r="AE40" s="1322"/>
      <c r="AF40" s="1322"/>
      <c r="AG40" s="1321" t="s">
        <v>43</v>
      </c>
      <c r="AH40" s="1320" t="s">
        <v>33</v>
      </c>
      <c r="AI40"/>
      <c r="AO40" s="1292"/>
    </row>
    <row r="41" spans="1:41" ht="15" customHeight="1">
      <c r="A41" s="1308">
        <v>39</v>
      </c>
      <c r="B41" s="1307">
        <f>B40+0.1</f>
        <v>0.80000000000000149</v>
      </c>
      <c r="C41" s="1292">
        <f>(B41-B$103)/B$104*E$104</f>
        <v>-0.92929292929292595</v>
      </c>
      <c r="D41" s="1306">
        <v>12.16</v>
      </c>
      <c r="E41" s="1305">
        <v>12.581329039599552</v>
      </c>
      <c r="F41" s="1304">
        <f>EXP(-(C41^2)/2)</f>
        <v>0.64934398848132158</v>
      </c>
      <c r="G41" s="1289">
        <f>$F41*$C41</f>
        <v>-0.60343077717455929</v>
      </c>
      <c r="H41" s="1289">
        <f>$F41*$C41^2</f>
        <v>0.5607639545460531</v>
      </c>
      <c r="I41" s="1289">
        <f>$F41*$C41^3</f>
        <v>-0.52111397796198677</v>
      </c>
      <c r="J41" s="1289">
        <f>$F41*$C41^4</f>
        <v>0.48426753507578402</v>
      </c>
      <c r="K41" s="1289">
        <f>$F41*$C41^5</f>
        <v>-0.45002639623204005</v>
      </c>
      <c r="L41" s="1289">
        <f>$F41*$C41^6</f>
        <v>0.41820634801361151</v>
      </c>
      <c r="M41" s="1289">
        <f>$F41*$C41^7</f>
        <v>-0.38863620219446587</v>
      </c>
      <c r="N41" s="1289">
        <f>$F41*$C41^8</f>
        <v>0.36115687476657304</v>
      </c>
      <c r="O41" s="1289">
        <f>$F41*$C41^9</f>
        <v>-0.33562053008610709</v>
      </c>
      <c r="P41" s="1303">
        <v>0.13864836566328911</v>
      </c>
      <c r="Q41" s="1375">
        <v>-0.18221430312928633</v>
      </c>
      <c r="R41" s="1375">
        <v>7.1291488070423681E-2</v>
      </c>
      <c r="S41" s="1375">
        <v>9.4686187790680665E-2</v>
      </c>
      <c r="T41" s="1375">
        <v>-0.12398220305878489</v>
      </c>
      <c r="U41" s="1375">
        <v>-1.1816213678597125E-2</v>
      </c>
      <c r="V41" s="1375">
        <v>0.11987682338149892</v>
      </c>
      <c r="W41" s="1375">
        <v>-4.9236852815744123E-2</v>
      </c>
      <c r="X41" s="1375">
        <v>-9.0515226441308827E-2</v>
      </c>
      <c r="Y41" s="1302">
        <v>8.9770213780745525E-2</v>
      </c>
      <c r="Z41" s="1319">
        <v>0</v>
      </c>
      <c r="AA41" s="1318">
        <f t="array" ref="AA41:AA50">MMULT(TRANSPOSE(H),y)</f>
        <v>64.749042425028563</v>
      </c>
      <c r="AB41" s="1317">
        <f>AH37</f>
        <v>0.26903145310484239</v>
      </c>
      <c r="AG41" s="1304">
        <f>AA41/SQRT(AF$37)</f>
        <v>240.67461881416395</v>
      </c>
      <c r="AH41" s="1302">
        <f>TDIST(ABS(AG41),AE$37,2)</f>
        <v>3.2046973825876367E-128</v>
      </c>
      <c r="AI41" s="1289" t="str">
        <f>IF(AH41&lt;=0.05,"*","")</f>
        <v>*</v>
      </c>
      <c r="AM41" s="1316"/>
      <c r="AO41" s="1292"/>
    </row>
    <row r="42" spans="1:41" ht="15" customHeight="1">
      <c r="A42" s="1308">
        <v>40</v>
      </c>
      <c r="B42" s="1307">
        <f>B41+0.1</f>
        <v>0.90000000000000147</v>
      </c>
      <c r="C42" s="1292">
        <f>(B42-B$103)/B$104*E$104</f>
        <v>-0.84848484848484518</v>
      </c>
      <c r="D42" s="1306">
        <v>12.01</v>
      </c>
      <c r="E42" s="1305">
        <v>12.135911990565784</v>
      </c>
      <c r="F42" s="1304">
        <f>EXP(-(C42^2)/2)</f>
        <v>0.69770195285301218</v>
      </c>
      <c r="G42" s="1289">
        <f>$F42*$C42</f>
        <v>-0.59198953575406865</v>
      </c>
      <c r="H42" s="1289">
        <f>$F42*$C42^2</f>
        <v>0.50229415154890478</v>
      </c>
      <c r="I42" s="1289">
        <f>$F42*$C42^3</f>
        <v>-0.42618897707179637</v>
      </c>
      <c r="J42" s="1289">
        <f>$F42*$C42^4</f>
        <v>0.36161488963667432</v>
      </c>
      <c r="K42" s="1289">
        <f>$F42*$C42^5</f>
        <v>-0.30682475484323762</v>
      </c>
      <c r="L42" s="1289">
        <f>$F42*$C42^6</f>
        <v>0.26033615562456425</v>
      </c>
      <c r="M42" s="1289">
        <f>$F42*$C42^7</f>
        <v>-0.22089128356023546</v>
      </c>
      <c r="N42" s="1289">
        <f>$F42*$C42^8</f>
        <v>0.18742290726322938</v>
      </c>
      <c r="O42" s="1289">
        <f>$F42*$C42^9</f>
        <v>-0.15902549707183039</v>
      </c>
      <c r="P42" s="1303">
        <v>0.14897379077828765</v>
      </c>
      <c r="Q42" s="1375">
        <v>-0.17875946139560789</v>
      </c>
      <c r="R42" s="1375">
        <v>4.6334470091965285E-2</v>
      </c>
      <c r="S42" s="1375">
        <v>0.11385950426782135</v>
      </c>
      <c r="T42" s="1375">
        <v>-0.10845937617755882</v>
      </c>
      <c r="U42" s="1375">
        <v>-4.3660567547588784E-2</v>
      </c>
      <c r="V42" s="1375">
        <v>0.12077274517932354</v>
      </c>
      <c r="W42" s="1375">
        <v>-1.4687014918377216E-2</v>
      </c>
      <c r="X42" s="1375">
        <v>-0.10850615549241767</v>
      </c>
      <c r="Y42" s="1302">
        <v>6.0223511263899618E-2</v>
      </c>
      <c r="Z42" s="1314">
        <v>1</v>
      </c>
      <c r="AA42" s="1313">
        <v>-20.362245998985379</v>
      </c>
      <c r="AB42" s="1310">
        <f>AB41</f>
        <v>0.26903145310484239</v>
      </c>
      <c r="AG42" s="1304">
        <f>AA42/SQRT(AF$37)</f>
        <v>-75.687231972278539</v>
      </c>
      <c r="AH42" s="1302">
        <f>TDIST(ABS(AG42),AE$37,2)</f>
        <v>2.8258415393516243E-83</v>
      </c>
      <c r="AI42" s="1289" t="str">
        <f>IF(AH42&lt;=0.05,"*","")</f>
        <v>*</v>
      </c>
      <c r="AO42" s="1292"/>
    </row>
    <row r="43" spans="1:41" ht="15" customHeight="1">
      <c r="A43" s="1308">
        <v>41</v>
      </c>
      <c r="B43" s="1307">
        <f>B42+0.1</f>
        <v>1.0000000000000016</v>
      </c>
      <c r="C43" s="1292">
        <f>(B43-B$103)/B$104*E$104</f>
        <v>-0.76767676767676418</v>
      </c>
      <c r="D43" s="1306">
        <v>12.309999999999999</v>
      </c>
      <c r="E43" s="1305">
        <v>11.728488168812715</v>
      </c>
      <c r="F43" s="1304">
        <f>EXP(-(C43^2)/2)</f>
        <v>0.74478193375742296</v>
      </c>
      <c r="G43" s="1289">
        <f>$F43*$C43</f>
        <v>-0.57175178753094835</v>
      </c>
      <c r="H43" s="1289">
        <f>$F43*$C43^2</f>
        <v>0.4389205641651705</v>
      </c>
      <c r="I43" s="1289">
        <f>$F43*$C43^3</f>
        <v>-0.3369491199651799</v>
      </c>
      <c r="J43" s="1289">
        <f>$F43*$C43^4</f>
        <v>0.25866801128639955</v>
      </c>
      <c r="K43" s="1289">
        <f>$F43*$C43^5</f>
        <v>-0.19857342280571993</v>
      </c>
      <c r="L43" s="1289">
        <f>$F43*$C43^6</f>
        <v>0.15244020336600655</v>
      </c>
      <c r="M43" s="1289">
        <f>$F43*$C43^7</f>
        <v>-0.11702480258400451</v>
      </c>
      <c r="N43" s="1289">
        <f>$F43*$C43^8</f>
        <v>8.9837222185700005E-2</v>
      </c>
      <c r="O43" s="1289">
        <f>$F43*$C43^9</f>
        <v>-6.8965948344577463E-2</v>
      </c>
      <c r="P43" s="1303">
        <v>0.15902634000280869</v>
      </c>
      <c r="Q43" s="1375">
        <v>-0.17264839227406209</v>
      </c>
      <c r="R43" s="1375">
        <v>2.0089634950117379E-2</v>
      </c>
      <c r="S43" s="1375">
        <v>0.12837779966979718</v>
      </c>
      <c r="T43" s="1375">
        <v>-8.7102136465538646E-2</v>
      </c>
      <c r="U43" s="1375">
        <v>-7.2585282992531946E-2</v>
      </c>
      <c r="V43" s="1375">
        <v>0.11204470420403806</v>
      </c>
      <c r="W43" s="1375">
        <v>2.1213004447292808E-2</v>
      </c>
      <c r="X43" s="1375">
        <v>-0.1149986375470393</v>
      </c>
      <c r="Y43" s="1302">
        <v>2.3506944660254044E-2</v>
      </c>
      <c r="Z43" s="1314">
        <v>2</v>
      </c>
      <c r="AA43" s="1313">
        <v>27.556235770562736</v>
      </c>
      <c r="AB43" s="1310">
        <f>AB42</f>
        <v>0.26903145310484239</v>
      </c>
      <c r="AG43" s="1304">
        <f>AA43/SQRT(AF$37)</f>
        <v>102.42756173131914</v>
      </c>
      <c r="AH43" s="1302">
        <f>TDIST(ABS(AG43),AE$37,2)</f>
        <v>5.7794807614107426E-95</v>
      </c>
      <c r="AI43" s="1289" t="str">
        <f>IF(AH43&lt;=0.05,"*","")</f>
        <v>*</v>
      </c>
      <c r="AO43" s="1292"/>
    </row>
    <row r="44" spans="1:41" ht="15" customHeight="1">
      <c r="A44" s="1308">
        <v>42</v>
      </c>
      <c r="B44" s="1307">
        <f>B43+0.1</f>
        <v>1.1000000000000016</v>
      </c>
      <c r="C44" s="1292">
        <f>(B44-B$103)/B$104*E$104</f>
        <v>-0.6868686868686833</v>
      </c>
      <c r="D44" s="1306">
        <v>11.190000000000001</v>
      </c>
      <c r="E44" s="1305">
        <v>11.37816575909315</v>
      </c>
      <c r="F44" s="1304">
        <f>EXP(-(C44^2)/2)</f>
        <v>0.7898641609263457</v>
      </c>
      <c r="G44" s="1289">
        <f>$F44*$C44</f>
        <v>-0.54253295902011345</v>
      </c>
      <c r="H44" s="1289">
        <f>$F44*$C44^2</f>
        <v>0.37264890114512644</v>
      </c>
      <c r="I44" s="1289">
        <f>$F44*$C44^3</f>
        <v>-0.25596086139261082</v>
      </c>
      <c r="J44" s="1289">
        <f>$F44*$C44^4</f>
        <v>0.17581150075451962</v>
      </c>
      <c r="K44" s="1289">
        <f>$F44*$C44^5</f>
        <v>-0.12075941465966941</v>
      </c>
      <c r="L44" s="1289">
        <f>$F44*$C44^6</f>
        <v>8.2945860574317951E-2</v>
      </c>
      <c r="M44" s="1289">
        <f>$F44*$C44^7</f>
        <v>-5.6972914333874657E-2</v>
      </c>
      <c r="N44" s="1289">
        <f>$F44*$C44^8</f>
        <v>3.9132910855590473E-2</v>
      </c>
      <c r="O44" s="1289">
        <f>$F44*$C44^9</f>
        <v>-2.6879171092728672E-2</v>
      </c>
      <c r="P44" s="1303">
        <v>0.16865232750451936</v>
      </c>
      <c r="Q44" s="1375">
        <v>-0.16382536123761929</v>
      </c>
      <c r="R44" s="1375">
        <v>-6.7286914034934793E-3</v>
      </c>
      <c r="S44" s="1375">
        <v>0.13754002579048075</v>
      </c>
      <c r="T44" s="1375">
        <v>-6.098677492256465E-2</v>
      </c>
      <c r="U44" s="1375">
        <v>-9.6599331891488727E-2</v>
      </c>
      <c r="V44" s="1375">
        <v>9.4295668569942412E-2</v>
      </c>
      <c r="W44" s="1375">
        <v>5.5118769507698936E-2</v>
      </c>
      <c r="X44" s="1375">
        <v>-0.10921542522484312</v>
      </c>
      <c r="Y44" s="1302">
        <v>-1.6009608805676707E-2</v>
      </c>
      <c r="Z44" s="1314">
        <v>3</v>
      </c>
      <c r="AA44" s="1313">
        <v>-11.242455056511112</v>
      </c>
      <c r="AB44" s="1310">
        <f>AB43</f>
        <v>0.26903145310484239</v>
      </c>
      <c r="AG44" s="1304">
        <f>AA44/SQRT(AF$37)</f>
        <v>-41.78862704254098</v>
      </c>
      <c r="AH44" s="1302">
        <f>TDIST(ABS(AG44),AE$37,2)</f>
        <v>9.9504949654075576E-61</v>
      </c>
      <c r="AI44" s="1289" t="str">
        <f>IF(AH44&lt;=0.05,"*","")</f>
        <v>*</v>
      </c>
      <c r="AO44" s="1292"/>
    </row>
    <row r="45" spans="1:41" ht="15" customHeight="1">
      <c r="A45" s="1308">
        <v>43</v>
      </c>
      <c r="B45" s="1307">
        <f>B44+0.1</f>
        <v>1.2000000000000017</v>
      </c>
      <c r="C45" s="1292">
        <f>(B45-B$103)/B$104*E$104</f>
        <v>-0.6060606060606023</v>
      </c>
      <c r="D45" s="1306">
        <v>11.65</v>
      </c>
      <c r="E45" s="1305">
        <v>11.096450795399116</v>
      </c>
      <c r="F45" s="1304">
        <f>EXP(-(C45^2)/2)</f>
        <v>0.83222309663675542</v>
      </c>
      <c r="G45" s="1289">
        <f>$F45*$C45</f>
        <v>-0.50437763432530314</v>
      </c>
      <c r="H45" s="1289">
        <f>$F45*$C45^2</f>
        <v>0.30568341474260607</v>
      </c>
      <c r="I45" s="1289">
        <f>$F45*$C45^3</f>
        <v>-0.1852626756015783</v>
      </c>
      <c r="J45" s="1289">
        <f>$F45*$C45^4</f>
        <v>0.1122804094555013</v>
      </c>
      <c r="K45" s="1289">
        <f>$F45*$C45^5</f>
        <v>-6.8048733003333695E-2</v>
      </c>
      <c r="L45" s="1289">
        <f>$F45*$C45^6</f>
        <v>4.1241656365656527E-2</v>
      </c>
      <c r="M45" s="1289">
        <f>$F45*$C45^7</f>
        <v>-2.4994943251912895E-2</v>
      </c>
      <c r="N45" s="1289">
        <f>$F45*$C45^8</f>
        <v>1.5148450455704688E-2</v>
      </c>
      <c r="O45" s="1289">
        <f>$F45*$C45^9</f>
        <v>-9.1808790640633912E-3</v>
      </c>
      <c r="P45" s="1303">
        <v>0.17769683598025071</v>
      </c>
      <c r="Q45" s="1375">
        <v>-0.15230383107555176</v>
      </c>
      <c r="R45" s="1375">
        <v>-3.3345359091956073E-2</v>
      </c>
      <c r="S45" s="1375">
        <v>0.14086006482787747</v>
      </c>
      <c r="T45" s="1375">
        <v>-3.1494656269720187E-2</v>
      </c>
      <c r="U45" s="1375">
        <v>-0.1140072760227622</v>
      </c>
      <c r="V45" s="1375">
        <v>6.8884785563344431E-2</v>
      </c>
      <c r="W45" s="1375">
        <v>8.3819232932640292E-2</v>
      </c>
      <c r="X45" s="1375">
        <v>-9.169690072122591E-2</v>
      </c>
      <c r="Y45" s="1302">
        <v>-5.3561430173740834E-2</v>
      </c>
      <c r="Z45" s="1314">
        <v>4</v>
      </c>
      <c r="AA45" s="1313">
        <v>2.3364413990765063</v>
      </c>
      <c r="AB45" s="1310">
        <f>AB44</f>
        <v>0.26903145310484239</v>
      </c>
      <c r="AF45" s="1315"/>
      <c r="AG45" s="1304">
        <f>AA45/SQRT(AF$37)</f>
        <v>8.6846402980471868</v>
      </c>
      <c r="AH45" s="1302">
        <f>TDIST(ABS(AG45),AE$37,2)</f>
        <v>1.5588130474960469E-13</v>
      </c>
      <c r="AI45" s="1289" t="str">
        <f>IF(AH45&lt;=0.05,"*","")</f>
        <v>*</v>
      </c>
      <c r="AO45" s="1292"/>
    </row>
    <row r="46" spans="1:41" ht="15" customHeight="1">
      <c r="A46" s="1308">
        <v>44</v>
      </c>
      <c r="B46" s="1307">
        <f>B45+0.1</f>
        <v>1.3000000000000018</v>
      </c>
      <c r="C46" s="1292">
        <f>(B46-B$103)/B$104*E$104</f>
        <v>-0.52525252525252142</v>
      </c>
      <c r="D46" s="1306">
        <v>10.84</v>
      </c>
      <c r="E46" s="1305">
        <v>10.886967861898874</v>
      </c>
      <c r="F46" s="1304">
        <f>EXP(-(C46^2)/2)</f>
        <v>0.87114650971938201</v>
      </c>
      <c r="G46" s="1289">
        <f>$F46*$C46</f>
        <v>-0.45757190409502557</v>
      </c>
      <c r="H46" s="1289">
        <f>$F46*$C46^2</f>
        <v>0.24034079811051673</v>
      </c>
      <c r="I46" s="1289">
        <f>$F46*$C46^3</f>
        <v>-0.12623961112875534</v>
      </c>
      <c r="J46" s="1289">
        <f>$F46*$C46^4</f>
        <v>6.630767453227504E-2</v>
      </c>
      <c r="K46" s="1289">
        <f>$F46*$C46^5</f>
        <v>-3.4828273491699764E-2</v>
      </c>
      <c r="L46" s="1289">
        <f>$F46*$C46^6</f>
        <v>1.8293638601700753E-2</v>
      </c>
      <c r="M46" s="1289">
        <f>$F46*$C46^7</f>
        <v>-9.6087798716003262E-3</v>
      </c>
      <c r="N46" s="1289">
        <f>$F46*$C46^8</f>
        <v>5.0470358921536687E-3</v>
      </c>
      <c r="O46" s="1289">
        <f>$F46*$C46^9</f>
        <v>-2.6509683473938269E-3</v>
      </c>
      <c r="P46" s="1303">
        <v>0.18600778935115173</v>
      </c>
      <c r="Q46" s="1375">
        <v>-0.13817019083217347</v>
      </c>
      <c r="R46" s="1375">
        <v>-5.8953274103601815E-2</v>
      </c>
      <c r="S46" s="1375">
        <v>0.13810222631156768</v>
      </c>
      <c r="T46" s="1375">
        <v>-2.3897287367311644E-4</v>
      </c>
      <c r="U46" s="1375">
        <v>-0.1235434359020766</v>
      </c>
      <c r="V46" s="1375">
        <v>3.7831943667783814E-2</v>
      </c>
      <c r="W46" s="1375">
        <v>0.1045543580352843</v>
      </c>
      <c r="X46" s="1375">
        <v>-6.4268398208067096E-2</v>
      </c>
      <c r="Y46" s="1302">
        <v>-8.4571513832283507E-2</v>
      </c>
      <c r="Z46" s="1314">
        <v>5</v>
      </c>
      <c r="AA46" s="1313">
        <v>5.0970229837288388</v>
      </c>
      <c r="AB46" s="1310">
        <f>AB45</f>
        <v>0.26903145310484239</v>
      </c>
      <c r="AF46" s="1315"/>
      <c r="AG46" s="1304">
        <f>AA46/SQRT(AF$37)</f>
        <v>18.945825571341331</v>
      </c>
      <c r="AH46" s="1302">
        <f>TDIST(ABS(AG46),AE$37,2)</f>
        <v>3.6582312022943062E-33</v>
      </c>
      <c r="AI46" s="1289" t="str">
        <f>IF(AH46&lt;=0.05,"*","")</f>
        <v>*</v>
      </c>
      <c r="AO46" s="1292"/>
    </row>
    <row r="47" spans="1:41" ht="15" customHeight="1">
      <c r="A47" s="1308">
        <v>45</v>
      </c>
      <c r="B47" s="1307">
        <f>B46+0.1</f>
        <v>1.4000000000000019</v>
      </c>
      <c r="C47" s="1292">
        <f>(B47-B$103)/B$104*E$104</f>
        <v>-0.44444444444444048</v>
      </c>
      <c r="D47" s="1306">
        <v>10.66</v>
      </c>
      <c r="E47" s="1305">
        <v>10.745916386338756</v>
      </c>
      <c r="F47" s="1304">
        <f>EXP(-(C47^2)/2)</f>
        <v>0.90595519110951117</v>
      </c>
      <c r="G47" s="1289">
        <f>$F47*$C47</f>
        <v>-0.40264675160422359</v>
      </c>
      <c r="H47" s="1289">
        <f>$F47*$C47^2</f>
        <v>0.17895411182409776</v>
      </c>
      <c r="I47" s="1289">
        <f>$F47*$C47^3</f>
        <v>-7.953516081070941E-2</v>
      </c>
      <c r="J47" s="1289">
        <f>$F47*$C47^4</f>
        <v>3.5348960360314978E-2</v>
      </c>
      <c r="K47" s="1289">
        <f>$F47*$C47^5</f>
        <v>-1.571064904902874E-2</v>
      </c>
      <c r="L47" s="1289">
        <f>$F47*$C47^6</f>
        <v>6.9825106884571549E-3</v>
      </c>
      <c r="M47" s="1289">
        <f>$F47*$C47^7</f>
        <v>-3.1033380837587076E-3</v>
      </c>
      <c r="N47" s="1289">
        <f>$F47*$C47^8</f>
        <v>1.3792613705594133E-3</v>
      </c>
      <c r="O47" s="1289">
        <f>$F47*$C47^9</f>
        <v>-6.1300505358195605E-4</v>
      </c>
      <c r="P47" s="1303">
        <v>0.1934401624403719</v>
      </c>
      <c r="Q47" s="1375">
        <v>-0.12158477828122212</v>
      </c>
      <c r="R47" s="1375">
        <v>-8.2745385796125434E-2</v>
      </c>
      <c r="S47" s="1375">
        <v>0.12930422876047754</v>
      </c>
      <c r="T47" s="1375">
        <v>3.1027299257754909E-2</v>
      </c>
      <c r="U47" s="1375">
        <v>-0.12447766251485066</v>
      </c>
      <c r="V47" s="1375">
        <v>3.6601027079867024E-3</v>
      </c>
      <c r="W47" s="1375">
        <v>0.11529616778257164</v>
      </c>
      <c r="X47" s="1375">
        <v>-2.9860669365771114E-2</v>
      </c>
      <c r="Y47" s="1302">
        <v>-0.10522232485577933</v>
      </c>
      <c r="Z47" s="1314">
        <v>6</v>
      </c>
      <c r="AA47" s="1313">
        <v>-2.4617990284907472</v>
      </c>
      <c r="AB47" s="1310">
        <f>AB46</f>
        <v>0.26903145310484239</v>
      </c>
      <c r="AG47" s="1304">
        <f>AA47/SQRT(AF$37)</f>
        <v>-9.1505993075515093</v>
      </c>
      <c r="AH47" s="1302">
        <f>TDIST(ABS(AG47),AE$37,2)</f>
        <v>1.6723369305019124E-14</v>
      </c>
      <c r="AI47" s="1289" t="str">
        <f>IF(AH47&lt;=0.05,"*","")</f>
        <v>*</v>
      </c>
      <c r="AO47" s="1292"/>
    </row>
    <row r="48" spans="1:41" ht="15" customHeight="1">
      <c r="A48" s="1308">
        <v>46</v>
      </c>
      <c r="B48" s="1307">
        <f>B47+0.1</f>
        <v>1.500000000000002</v>
      </c>
      <c r="C48" s="1292">
        <f>(B48-B$103)/B$104*E$104</f>
        <v>-0.36363636363635954</v>
      </c>
      <c r="D48" s="1306">
        <v>10.809999999999999</v>
      </c>
      <c r="E48" s="1305">
        <v>10.663176257038049</v>
      </c>
      <c r="F48" s="1304">
        <f>EXP(-(C48^2)/2)</f>
        <v>0.93602255789541622</v>
      </c>
      <c r="G48" s="1289">
        <f>$F48*$C48</f>
        <v>-0.340371839234693</v>
      </c>
      <c r="H48" s="1289">
        <f>$F48*$C48^2</f>
        <v>0.12377157790352331</v>
      </c>
      <c r="I48" s="1289">
        <f>$F48*$C48^3</f>
        <v>-4.500784651037161E-2</v>
      </c>
      <c r="J48" s="1289">
        <f>$F48*$C48^4</f>
        <v>1.6366489640134943E-2</v>
      </c>
      <c r="K48" s="1289">
        <f>$F48*$C48^5</f>
        <v>-5.9514507782308206E-3</v>
      </c>
      <c r="L48" s="1289">
        <f>$F48*$C48^6</f>
        <v>2.1641639193566379E-3</v>
      </c>
      <c r="M48" s="1289">
        <f>$F48*$C48^7</f>
        <v>-7.8696869794785932E-4</v>
      </c>
      <c r="N48" s="1289">
        <f>$F48*$C48^8</f>
        <v>2.8617043561740015E-4</v>
      </c>
      <c r="O48" s="1289">
        <f>$F48*$C48^9</f>
        <v>-1.0406197658814433E-4</v>
      </c>
      <c r="P48" s="1303">
        <v>0.19986016684268296</v>
      </c>
      <c r="Q48" s="1375">
        <v>-0.10278000366733327</v>
      </c>
      <c r="R48" s="1375">
        <v>-0.10394820740015098</v>
      </c>
      <c r="S48" s="1375">
        <v>0.11478560616261586</v>
      </c>
      <c r="T48" s="1375">
        <v>6.0516401359812837E-2</v>
      </c>
      <c r="U48" s="1375">
        <v>-0.11668279148588394</v>
      </c>
      <c r="V48" s="1375">
        <v>-3.0812040468969869E-2</v>
      </c>
      <c r="W48" s="1375">
        <v>0.11496244616814014</v>
      </c>
      <c r="X48" s="1375">
        <v>7.7996606665837109E-3</v>
      </c>
      <c r="Y48" s="1302">
        <v>-0.11294236124118176</v>
      </c>
      <c r="Z48" s="1314">
        <v>7</v>
      </c>
      <c r="AA48" s="1313">
        <v>-0.14015062879316958</v>
      </c>
      <c r="AB48" s="1310">
        <f>AB47</f>
        <v>0.26903145310484239</v>
      </c>
      <c r="AE48"/>
      <c r="AG48" s="1304">
        <f>AA48/SQRT(AF$37)</f>
        <v>-0.52094514294041472</v>
      </c>
      <c r="AH48" s="1302">
        <f>TDIST(ABS(AG48),AE$37,2)</f>
        <v>0.60368439028630017</v>
      </c>
      <c r="AI48" s="1289" t="str">
        <f>IF(AH48&lt;=0.05,"*","")</f>
        <v/>
      </c>
      <c r="AO48" s="1292"/>
    </row>
    <row r="49" spans="1:41" ht="15" customHeight="1">
      <c r="A49" s="1308">
        <v>47</v>
      </c>
      <c r="B49" s="1307">
        <f>B48+0.1</f>
        <v>1.6000000000000021</v>
      </c>
      <c r="C49" s="1292">
        <f>(B49-B$103)/B$104*E$104</f>
        <v>-0.2828282828282786</v>
      </c>
      <c r="D49" s="1306">
        <v>10.61</v>
      </c>
      <c r="E49" s="1305">
        <v>10.623910375263762</v>
      </c>
      <c r="F49" s="1304">
        <f>EXP(-(C49^2)/2)</f>
        <v>0.96079336034975216</v>
      </c>
      <c r="G49" s="1289">
        <f>$F49*$C49</f>
        <v>-0.27173953626053188</v>
      </c>
      <c r="H49" s="1289">
        <f>$F49*$C49^2</f>
        <v>7.6855626417118975E-2</v>
      </c>
      <c r="I49" s="1289">
        <f>$F49*$C49^3</f>
        <v>-2.1736944845245444E-2</v>
      </c>
      <c r="J49" s="1289">
        <f>$F49*$C49^4</f>
        <v>6.1478227845137715E-3</v>
      </c>
      <c r="K49" s="1289">
        <f>$F49*$C49^5</f>
        <v>-1.7387781612765961E-3</v>
      </c>
      <c r="L49" s="1289">
        <f>$F49*$C49^6</f>
        <v>4.9177564157317139E-4</v>
      </c>
      <c r="M49" s="1289">
        <f>$F49*$C49^7</f>
        <v>-1.3908806024291506E-4</v>
      </c>
      <c r="N49" s="1289">
        <f>$F49*$C49^8</f>
        <v>3.9338037240419829E-5</v>
      </c>
      <c r="O49" s="1289">
        <f>$F49*$C49^9</f>
        <v>-1.1125909522542815E-5</v>
      </c>
      <c r="P49" s="1303">
        <v>0.20514924526241884</v>
      </c>
      <c r="Q49" s="1375">
        <v>-8.2055526674047335E-2</v>
      </c>
      <c r="R49" s="1375">
        <v>-0.12185512481863503</v>
      </c>
      <c r="S49" s="1375">
        <v>9.5140389091509348E-2</v>
      </c>
      <c r="T49" s="1375">
        <v>8.6516637603472626E-2</v>
      </c>
      <c r="U49" s="1375">
        <v>-0.10065683657504559</v>
      </c>
      <c r="V49" s="1375">
        <v>-6.270911426941235E-2</v>
      </c>
      <c r="W49" s="1375">
        <v>0.1035386698945446</v>
      </c>
      <c r="X49" s="1375">
        <v>4.4596524835323691E-2</v>
      </c>
      <c r="Y49" s="1302">
        <v>-0.10674242637864836</v>
      </c>
      <c r="Z49" s="1314">
        <v>8</v>
      </c>
      <c r="AA49" s="1313">
        <v>2.6883254466961151</v>
      </c>
      <c r="AB49" s="1310">
        <f>AB48</f>
        <v>0.26903145310484239</v>
      </c>
      <c r="AE49"/>
      <c r="AG49" s="1304">
        <f>AA49/SQRT(AF$37)</f>
        <v>9.9926064988708454</v>
      </c>
      <c r="AH49" s="1302">
        <f>TDIST(ABS(AG49),AE$37,2)</f>
        <v>2.9593393836476982E-16</v>
      </c>
      <c r="AI49" s="1289" t="str">
        <f>IF(AH49&lt;=0.05,"*","")</f>
        <v>*</v>
      </c>
      <c r="AO49" s="1292"/>
    </row>
    <row r="50" spans="1:41" ht="15" customHeight="1">
      <c r="A50" s="1308">
        <v>48</v>
      </c>
      <c r="B50" s="1307">
        <f>B49+0.1</f>
        <v>1.7000000000000022</v>
      </c>
      <c r="C50" s="1292">
        <f>(B50-B$103)/B$104*E$104</f>
        <v>-0.20202020202019766</v>
      </c>
      <c r="D50" s="1306">
        <v>10.67</v>
      </c>
      <c r="E50" s="1305">
        <v>10.610465589156899</v>
      </c>
      <c r="F50" s="1304">
        <f>EXP(-(C50^2)/2)</f>
        <v>0.97980071404471858</v>
      </c>
      <c r="G50" s="1289">
        <f>$F50*$C50</f>
        <v>-0.19793953819084797</v>
      </c>
      <c r="H50" s="1289">
        <f>$F50*$C50^2</f>
        <v>3.9987785493099733E-2</v>
      </c>
      <c r="I50" s="1289">
        <f>$F50*$C50^3</f>
        <v>-8.0783405036563369E-3</v>
      </c>
      <c r="J50" s="1289">
        <f>$F50*$C50^4</f>
        <v>1.6319879805365984E-3</v>
      </c>
      <c r="K50" s="1289">
        <f>$F50*$C50^5</f>
        <v>-3.2969454152253802E-4</v>
      </c>
      <c r="L50" s="1289">
        <f>$F50*$C50^6</f>
        <v>6.660495788333957E-5</v>
      </c>
      <c r="M50" s="1289">
        <f>$F50*$C50^7</f>
        <v>-1.3455547047139017E-5</v>
      </c>
      <c r="N50" s="1289">
        <f>$F50*$C50^8</f>
        <v>2.718292332755298E-6</v>
      </c>
      <c r="O50" s="1289">
        <f>$F50*$C50^9</f>
        <v>-5.4914996621317961E-7</v>
      </c>
      <c r="P50" s="1303">
        <v>0.20920770822217399</v>
      </c>
      <c r="Q50" s="1375">
        <v>-5.9770592381874071E-2</v>
      </c>
      <c r="R50" s="1375">
        <v>-0.13585768804006676</v>
      </c>
      <c r="S50" s="1375">
        <v>7.121394674326556E-2</v>
      </c>
      <c r="T50" s="1375">
        <v>0.10750122674221496</v>
      </c>
      <c r="U50" s="1375">
        <v>-7.7496725019268173E-2</v>
      </c>
      <c r="V50" s="1375">
        <v>-8.934822040808231E-2</v>
      </c>
      <c r="W50" s="1375">
        <v>8.2093111941620819E-2</v>
      </c>
      <c r="X50" s="1375">
        <v>7.648198416362488E-2</v>
      </c>
      <c r="Y50" s="1302">
        <v>-8.7355019746630944E-2</v>
      </c>
      <c r="Z50" s="1312">
        <v>9</v>
      </c>
      <c r="AA50" s="1311">
        <v>-1.3911190671335592</v>
      </c>
      <c r="AB50" s="1309">
        <f>AB49</f>
        <v>0.26903145310484239</v>
      </c>
      <c r="AC50" s="1295"/>
      <c r="AD50" s="1295"/>
      <c r="AE50" s="1225"/>
      <c r="AF50" s="1295"/>
      <c r="AG50" s="1297">
        <f>AA50/SQRT(AF$37)</f>
        <v>-5.1708417401716806</v>
      </c>
      <c r="AH50" s="1294">
        <f>TDIST(ABS(AG50),AE$37,2)</f>
        <v>1.3976979360171206E-6</v>
      </c>
      <c r="AI50" s="1289" t="str">
        <f>IF(AH50&lt;=0.05,"*","")</f>
        <v>*</v>
      </c>
      <c r="AO50" s="1292"/>
    </row>
    <row r="51" spans="1:41" ht="15" customHeight="1">
      <c r="A51" s="1308">
        <v>49</v>
      </c>
      <c r="B51" s="1307">
        <f>B50+0.1</f>
        <v>1.8000000000000023</v>
      </c>
      <c r="C51" s="1292">
        <f>(B51-B$103)/B$104*E$104</f>
        <v>-0.12121212121211673</v>
      </c>
      <c r="D51" s="1306">
        <v>10.690000000000001</v>
      </c>
      <c r="E51" s="1305">
        <v>10.604352385003249</v>
      </c>
      <c r="F51" s="1304">
        <f>EXP(-(C51^2)/2)</f>
        <v>0.99268072812973973</v>
      </c>
      <c r="G51" s="1289">
        <f>$F51*$C51</f>
        <v>-0.12032493674299431</v>
      </c>
      <c r="H51" s="1289">
        <f>$F51*$C51^2</f>
        <v>1.4584840817332105E-2</v>
      </c>
      <c r="I51" s="1289">
        <f>$F51*$C51^3</f>
        <v>-1.7678594930098867E-3</v>
      </c>
      <c r="J51" s="1289">
        <f>$F51*$C51^4</f>
        <v>2.1428599915270563E-4</v>
      </c>
      <c r="K51" s="1289">
        <f>$F51*$C51^5</f>
        <v>-2.5974060503357298E-5</v>
      </c>
      <c r="L51" s="1289">
        <f>$F51*$C51^6</f>
        <v>3.1483709701037985E-6</v>
      </c>
      <c r="M51" s="1289">
        <f>$F51*$C51^7</f>
        <v>-3.8162072364893119E-7</v>
      </c>
      <c r="N51" s="1289">
        <f>$F51*$C51^8</f>
        <v>4.625705741198994E-8</v>
      </c>
      <c r="O51" s="1289">
        <f>$F51*$C51^9</f>
        <v>-5.6069160499379671E-9</v>
      </c>
      <c r="P51" s="1303">
        <v>0.21195785750250362</v>
      </c>
      <c r="Q51" s="1375">
        <v>-3.6333785625517964E-2</v>
      </c>
      <c r="R51" s="1375">
        <v>-0.14547313662704409</v>
      </c>
      <c r="S51" s="1375">
        <v>4.4064960419749714E-2</v>
      </c>
      <c r="T51" s="1375">
        <v>0.12222722541407362</v>
      </c>
      <c r="U51" s="1375">
        <v>-4.8824548719662145E-2</v>
      </c>
      <c r="V51" s="1375">
        <v>-0.10847494696766957</v>
      </c>
      <c r="W51" s="1375">
        <v>5.2681417100247561E-2</v>
      </c>
      <c r="X51" s="1375">
        <v>9.9931965221991603E-2</v>
      </c>
      <c r="Y51" s="1302">
        <v>-5.7155604783642289E-2</v>
      </c>
      <c r="AB51" s="1289"/>
      <c r="AG51"/>
      <c r="AH51"/>
      <c r="AO51" s="1292"/>
    </row>
    <row r="52" spans="1:41" ht="15" customHeight="1">
      <c r="A52" s="1308">
        <v>50</v>
      </c>
      <c r="B52" s="1307">
        <f>B51+0.1</f>
        <v>1.9000000000000024</v>
      </c>
      <c r="C52" s="1292">
        <f>(B52-B$103)/B$104*E$104</f>
        <v>-4.04040404040358E-2</v>
      </c>
      <c r="D52" s="1306">
        <v>10.27</v>
      </c>
      <c r="E52" s="1305">
        <v>10.588089499440542</v>
      </c>
      <c r="F52" s="1304">
        <f>EXP(-(C52^2)/2)</f>
        <v>0.9991840897954094</v>
      </c>
      <c r="G52" s="1289">
        <f>$F52*$C52</f>
        <v>-4.0371074335163459E-2</v>
      </c>
      <c r="H52" s="1289">
        <f>$F52*$C52^2</f>
        <v>1.6311545185922769E-3</v>
      </c>
      <c r="I52" s="1289">
        <f>$F52*$C52^3</f>
        <v>-6.5905233074427922E-5</v>
      </c>
      <c r="J52" s="1289">
        <f>$F52*$C52^4</f>
        <v>2.6628376999765822E-6</v>
      </c>
      <c r="K52" s="1289">
        <f>$F52*$C52^5</f>
        <v>-1.0758940201924358E-7</v>
      </c>
      <c r="L52" s="1289">
        <f>$F52*$C52^6</f>
        <v>4.3470465462315685E-9</v>
      </c>
      <c r="M52" s="1289">
        <f>$F52*$C52^7</f>
        <v>-1.7563824429216458E-10</v>
      </c>
      <c r="N52" s="1289">
        <f>$F52*$C52^8</f>
        <v>7.0964947188745265E-12</v>
      </c>
      <c r="O52" s="1289">
        <f>$F52*$C52^9</f>
        <v>-2.8672705934843308E-13</v>
      </c>
      <c r="P52" s="1303">
        <v>0.21334645966446589</v>
      </c>
      <c r="Q52" s="1375">
        <v>-1.2190606536521481E-2</v>
      </c>
      <c r="R52" s="1375">
        <v>-0.15036658607719641</v>
      </c>
      <c r="S52" s="1375">
        <v>1.4914544806043E-2</v>
      </c>
      <c r="T52" s="1375">
        <v>0.12981715451969122</v>
      </c>
      <c r="U52" s="1375">
        <v>-1.6671503218409826E-2</v>
      </c>
      <c r="V52" s="1375">
        <v>-0.11846381028808525</v>
      </c>
      <c r="W52" s="1375">
        <v>1.8149005487202056E-2</v>
      </c>
      <c r="X52" s="1375">
        <v>0.11234645870060751</v>
      </c>
      <c r="Y52" s="1302">
        <v>-1.9873294193891635E-2</v>
      </c>
      <c r="AB52" s="1289"/>
      <c r="AO52" s="1292"/>
    </row>
    <row r="53" spans="1:41" ht="15" customHeight="1">
      <c r="A53" s="1308">
        <v>51</v>
      </c>
      <c r="B53" s="1307">
        <f>B52+0.1</f>
        <v>2.0000000000000022</v>
      </c>
      <c r="C53" s="1292">
        <f>(B53-B$103)/B$104*E$104</f>
        <v>4.0404040404044952E-2</v>
      </c>
      <c r="D53" s="1306">
        <v>10.39</v>
      </c>
      <c r="E53" s="1305">
        <v>10.546730462691425</v>
      </c>
      <c r="F53" s="1304">
        <f>EXP(-(C53^2)/2)</f>
        <v>0.99918408979540907</v>
      </c>
      <c r="G53" s="1289">
        <f>$F53*$C53</f>
        <v>4.0371074335172591E-2</v>
      </c>
      <c r="H53" s="1289">
        <f>$F53*$C53^2</f>
        <v>1.6311545185930154E-3</v>
      </c>
      <c r="I53" s="1289">
        <f>$F53*$C53^3</f>
        <v>6.5905233074472699E-5</v>
      </c>
      <c r="J53" s="1289">
        <f>$F53*$C53^4</f>
        <v>2.6628376999789941E-6</v>
      </c>
      <c r="K53" s="1289">
        <f>$F53*$C53^5</f>
        <v>1.0758940201936541E-7</v>
      </c>
      <c r="L53" s="1289">
        <f>$F53*$C53^6</f>
        <v>4.3470465462374754E-9</v>
      </c>
      <c r="M53" s="1289">
        <f>$F53*$C53^7</f>
        <v>1.7563824429244306E-10</v>
      </c>
      <c r="N53" s="1289">
        <f>$F53*$C53^8</f>
        <v>7.096494718887385E-12</v>
      </c>
      <c r="O53" s="1289">
        <f>$F53*$C53^9</f>
        <v>2.8672705934901752E-13</v>
      </c>
      <c r="P53" s="1303">
        <v>0.2133464596644658</v>
      </c>
      <c r="Q53" s="1375">
        <v>1.2190606536524214E-2</v>
      </c>
      <c r="R53" s="1375">
        <v>-0.15036658607719613</v>
      </c>
      <c r="S53" s="1375">
        <v>-1.4914544806045975E-2</v>
      </c>
      <c r="T53" s="1375">
        <v>0.12981715451969081</v>
      </c>
      <c r="U53" s="1375">
        <v>1.6671503218411824E-2</v>
      </c>
      <c r="V53" s="1375">
        <v>-0.11846381028808428</v>
      </c>
      <c r="W53" s="1375">
        <v>-1.814900548719748E-2</v>
      </c>
      <c r="X53" s="1375">
        <v>0.11234645870060524</v>
      </c>
      <c r="Y53" s="1302">
        <v>1.9873294193876168E-2</v>
      </c>
      <c r="AB53" s="1289"/>
      <c r="AO53" s="1292"/>
    </row>
    <row r="54" spans="1:41" ht="15" customHeight="1">
      <c r="A54" s="1308">
        <v>52</v>
      </c>
      <c r="B54" s="1307">
        <f>B53+0.1</f>
        <v>2.1000000000000023</v>
      </c>
      <c r="C54" s="1292">
        <f>(B54-B$103)/B$104*E$104</f>
        <v>0.12121212121212589</v>
      </c>
      <c r="D54" s="1306">
        <v>10</v>
      </c>
      <c r="E54" s="1305">
        <v>10.468939955449889</v>
      </c>
      <c r="F54" s="1304">
        <f>EXP(-(C54^2)/2)</f>
        <v>0.99268072812973862</v>
      </c>
      <c r="G54" s="1289">
        <f>$F54*$C54</f>
        <v>0.12032493674300326</v>
      </c>
      <c r="H54" s="1289">
        <f>$F54*$C54^2</f>
        <v>1.4584840817334292E-2</v>
      </c>
      <c r="I54" s="1289">
        <f>$F54*$C54^3</f>
        <v>1.7678594930102855E-3</v>
      </c>
      <c r="J54" s="1289">
        <f>$F54*$C54^4</f>
        <v>2.1428599915277014E-4</v>
      </c>
      <c r="K54" s="1289">
        <f>$F54*$C54^5</f>
        <v>2.5974060503367083E-5</v>
      </c>
      <c r="L54" s="1289">
        <f>$F54*$C54^6</f>
        <v>3.1483709701052224E-6</v>
      </c>
      <c r="M54" s="1289">
        <f>$F54*$C54^7</f>
        <v>3.8162072364913257E-7</v>
      </c>
      <c r="N54" s="1289">
        <f>$F54*$C54^8</f>
        <v>4.6257057412017853E-8</v>
      </c>
      <c r="O54" s="1289">
        <f>$F54*$C54^9</f>
        <v>5.6069160499417746E-9</v>
      </c>
      <c r="P54" s="1303">
        <v>0.21195785750250337</v>
      </c>
      <c r="Q54" s="1375">
        <v>3.6333785625520636E-2</v>
      </c>
      <c r="R54" s="1375">
        <v>-0.14547313662704325</v>
      </c>
      <c r="S54" s="1375">
        <v>-4.4064960419752552E-2</v>
      </c>
      <c r="T54" s="1375">
        <v>0.12222722541407227</v>
      </c>
      <c r="U54" s="1375">
        <v>4.8824548719663963E-2</v>
      </c>
      <c r="V54" s="1375">
        <v>-0.10847494696766677</v>
      </c>
      <c r="W54" s="1375">
        <v>-5.268141710024319E-2</v>
      </c>
      <c r="X54" s="1375">
        <v>9.9931965221984984E-2</v>
      </c>
      <c r="Y54" s="1302">
        <v>5.7155604783627745E-2</v>
      </c>
      <c r="AB54" s="1289"/>
      <c r="AO54" s="1292"/>
    </row>
    <row r="55" spans="1:41" ht="15" customHeight="1">
      <c r="A55" s="1308">
        <v>53</v>
      </c>
      <c r="B55" s="1307">
        <f>B54+0.1</f>
        <v>2.2000000000000024</v>
      </c>
      <c r="C55" s="1292">
        <f>(B55-B$103)/B$104*E$104</f>
        <v>0.20202020202020682</v>
      </c>
      <c r="D55" s="1306">
        <v>10.33</v>
      </c>
      <c r="E55" s="1305">
        <v>10.347551281834665</v>
      </c>
      <c r="F55" s="1304">
        <f>EXP(-(C55^2)/2)</f>
        <v>0.97980071404471669</v>
      </c>
      <c r="G55" s="1289">
        <f>$F55*$C55</f>
        <v>0.19793953819085655</v>
      </c>
      <c r="H55" s="1289">
        <f>$F55*$C55^2</f>
        <v>3.9987785493103285E-2</v>
      </c>
      <c r="I55" s="1289">
        <f>$F55*$C55^3</f>
        <v>8.0783405036574212E-3</v>
      </c>
      <c r="J55" s="1289">
        <f>$F55*$C55^4</f>
        <v>1.6319879805368916E-3</v>
      </c>
      <c r="K55" s="1289">
        <f>$F55*$C55^5</f>
        <v>3.2969454152261218E-4</v>
      </c>
      <c r="L55" s="1289">
        <f>$F55*$C55^6</f>
        <v>6.6604957883357582E-5</v>
      </c>
      <c r="M55" s="1289">
        <f>$F55*$C55^7</f>
        <v>1.3455547047143267E-5</v>
      </c>
      <c r="N55" s="1289">
        <f>$F55*$C55^8</f>
        <v>2.7182923327562802E-6</v>
      </c>
      <c r="O55" s="1289">
        <f>$F55*$C55^9</f>
        <v>5.4914996621340302E-7</v>
      </c>
      <c r="P55" s="1303">
        <v>0.20920770822217358</v>
      </c>
      <c r="Q55" s="1375">
        <v>5.9770592381876632E-2</v>
      </c>
      <c r="R55" s="1375">
        <v>-0.13585768804006537</v>
      </c>
      <c r="S55" s="1375">
        <v>-7.12139467432681E-2</v>
      </c>
      <c r="T55" s="1375">
        <v>0.1075012267422128</v>
      </c>
      <c r="U55" s="1375">
        <v>7.7496725019269672E-2</v>
      </c>
      <c r="V55" s="1375">
        <v>-8.9348220408077869E-2</v>
      </c>
      <c r="W55" s="1375">
        <v>-8.2093111941616836E-2</v>
      </c>
      <c r="X55" s="1375">
        <v>7.64819841636145E-2</v>
      </c>
      <c r="Y55" s="1302">
        <v>8.735501974661819E-2</v>
      </c>
      <c r="AB55" s="1289"/>
      <c r="AO55" s="1292"/>
    </row>
    <row r="56" spans="1:41" ht="15" customHeight="1">
      <c r="A56" s="1308">
        <v>54</v>
      </c>
      <c r="B56" s="1307">
        <f>B55+0.1</f>
        <v>2.3000000000000025</v>
      </c>
      <c r="C56" s="1292">
        <f>(B56-B$103)/B$104*E$104</f>
        <v>0.28282828282828776</v>
      </c>
      <c r="D56" s="1306">
        <v>10.47</v>
      </c>
      <c r="E56" s="1305">
        <v>10.179603421828014</v>
      </c>
      <c r="F56" s="1304">
        <f>EXP(-(C56^2)/2)</f>
        <v>0.96079336034974971</v>
      </c>
      <c r="G56" s="1289">
        <f>$F56*$C56</f>
        <v>0.27173953626053998</v>
      </c>
      <c r="H56" s="1289">
        <f>$F56*$C56^2</f>
        <v>7.6855626417123776E-2</v>
      </c>
      <c r="I56" s="1289">
        <f>$F56*$C56^3</f>
        <v>2.1736944845247509E-2</v>
      </c>
      <c r="J56" s="1289">
        <f>$F56*$C56^4</f>
        <v>6.1478227845145538E-3</v>
      </c>
      <c r="K56" s="1289">
        <f>$F56*$C56^5</f>
        <v>1.7387781612768739E-3</v>
      </c>
      <c r="L56" s="1289">
        <f>$F56*$C56^6</f>
        <v>4.9177564157326583E-4</v>
      </c>
      <c r="M56" s="1289">
        <f>$F56*$C56^7</f>
        <v>1.3908806024294631E-4</v>
      </c>
      <c r="N56" s="1289">
        <f>$F56*$C56^8</f>
        <v>3.9338037240429946E-5</v>
      </c>
      <c r="O56" s="1289">
        <f>$F56*$C56^9</f>
        <v>1.1125909522546037E-5</v>
      </c>
      <c r="P56" s="1303">
        <v>0.20514924526241832</v>
      </c>
      <c r="Q56" s="1375">
        <v>8.2055526674049764E-2</v>
      </c>
      <c r="R56" s="1375">
        <v>-0.12185512481863328</v>
      </c>
      <c r="S56" s="1375">
        <v>-9.5140389091511499E-2</v>
      </c>
      <c r="T56" s="1375">
        <v>8.651663760346974E-2</v>
      </c>
      <c r="U56" s="1375">
        <v>0.10065683657504661</v>
      </c>
      <c r="V56" s="1375">
        <v>-6.2709114269406618E-2</v>
      </c>
      <c r="W56" s="1375">
        <v>-0.10353866989454116</v>
      </c>
      <c r="X56" s="1375">
        <v>4.4596524835310479E-2</v>
      </c>
      <c r="Y56" s="1302">
        <v>0.10674242637863818</v>
      </c>
      <c r="AB56" s="1289"/>
      <c r="AO56" s="1292"/>
    </row>
    <row r="57" spans="1:41" ht="15" customHeight="1">
      <c r="A57" s="1308">
        <v>55</v>
      </c>
      <c r="B57" s="1307">
        <f>B56+0.1</f>
        <v>2.4000000000000026</v>
      </c>
      <c r="C57" s="1292">
        <f>(B57-B$103)/B$104*E$104</f>
        <v>0.3636363636363687</v>
      </c>
      <c r="D57" s="1306">
        <v>9.9400000000000013</v>
      </c>
      <c r="E57" s="1305">
        <v>9.9659181708065798</v>
      </c>
      <c r="F57" s="1304">
        <f>EXP(-(C57^2)/2)</f>
        <v>0.93602255789541311</v>
      </c>
      <c r="G57" s="1289">
        <f>$F57*$C57</f>
        <v>0.34037183923470044</v>
      </c>
      <c r="H57" s="1289">
        <f>$F57*$C57^2</f>
        <v>0.12377157790352913</v>
      </c>
      <c r="I57" s="1289">
        <f>$F57*$C57^3</f>
        <v>4.5007846510374858E-2</v>
      </c>
      <c r="J57" s="1289">
        <f>$F57*$C57^4</f>
        <v>1.6366489640136539E-2</v>
      </c>
      <c r="K57" s="1289">
        <f>$F57*$C57^5</f>
        <v>5.9514507782315509E-3</v>
      </c>
      <c r="L57" s="1289">
        <f>$F57*$C57^6</f>
        <v>2.1641639193569575E-3</v>
      </c>
      <c r="M57" s="1289">
        <f>$F57*$C57^7</f>
        <v>7.8696869794799549E-4</v>
      </c>
      <c r="N57" s="1289">
        <f>$F57*$C57^8</f>
        <v>2.8617043561745691E-4</v>
      </c>
      <c r="O57" s="1289">
        <f>$F57*$C57^9</f>
        <v>1.0406197658816758E-4</v>
      </c>
      <c r="P57" s="1303">
        <v>0.19986016684268229</v>
      </c>
      <c r="Q57" s="1375">
        <v>0.10278000366733549</v>
      </c>
      <c r="R57" s="1375">
        <v>-0.1039482074001488</v>
      </c>
      <c r="S57" s="1375">
        <v>-0.11478560616261753</v>
      </c>
      <c r="T57" s="1375">
        <v>6.0516401359809423E-2</v>
      </c>
      <c r="U57" s="1375">
        <v>0.11668279148588433</v>
      </c>
      <c r="V57" s="1375">
        <v>-3.0812040468963256E-2</v>
      </c>
      <c r="W57" s="1375">
        <v>-0.11496244616813739</v>
      </c>
      <c r="X57" s="1375">
        <v>7.7996606665688062E-3</v>
      </c>
      <c r="Y57" s="1302">
        <v>0.11294236124117479</v>
      </c>
      <c r="AB57" s="1289"/>
      <c r="AO57" s="1292"/>
    </row>
    <row r="58" spans="1:41" ht="15" customHeight="1">
      <c r="A58" s="1308">
        <v>56</v>
      </c>
      <c r="B58" s="1307">
        <f>B57+0.1</f>
        <v>2.5000000000000027</v>
      </c>
      <c r="C58" s="1292">
        <f>(B58-B$103)/B$104*E$104</f>
        <v>0.44444444444444964</v>
      </c>
      <c r="D58" s="1306">
        <v>9.52</v>
      </c>
      <c r="E58" s="1305">
        <v>9.7103271266954252</v>
      </c>
      <c r="F58" s="1304">
        <f>EXP(-(C58^2)/2)</f>
        <v>0.90595519110950751</v>
      </c>
      <c r="G58" s="1289">
        <f>$F58*$C58</f>
        <v>0.40264675160423025</v>
      </c>
      <c r="H58" s="1289">
        <f>$F58*$C58^2</f>
        <v>0.17895411182410445</v>
      </c>
      <c r="I58" s="1289">
        <f>$F58*$C58^3</f>
        <v>7.9535160810714003E-2</v>
      </c>
      <c r="J58" s="1289">
        <f>$F58*$C58^4</f>
        <v>3.5348960360317754E-2</v>
      </c>
      <c r="K58" s="1289">
        <f>$F58*$C58^5</f>
        <v>1.5710649049030297E-2</v>
      </c>
      <c r="L58" s="1289">
        <f>$F58*$C58^6</f>
        <v>6.9825106884579911E-3</v>
      </c>
      <c r="M58" s="1289">
        <f>$F58*$C58^7</f>
        <v>3.103338083759143E-3</v>
      </c>
      <c r="N58" s="1289">
        <f>$F58*$C58^8</f>
        <v>1.3792613705596356E-3</v>
      </c>
      <c r="O58" s="1289">
        <f>$F58*$C58^9</f>
        <v>6.130050535820674E-4</v>
      </c>
      <c r="P58" s="1303">
        <v>0.19344016244037113</v>
      </c>
      <c r="Q58" s="1375">
        <v>0.1215847782812241</v>
      </c>
      <c r="R58" s="1375">
        <v>-8.2745385796122922E-2</v>
      </c>
      <c r="S58" s="1375">
        <v>-0.12930422876047867</v>
      </c>
      <c r="T58" s="1375">
        <v>3.1027299257751169E-2</v>
      </c>
      <c r="U58" s="1375">
        <v>0.12447766251485044</v>
      </c>
      <c r="V58" s="1375">
        <v>3.660102707993725E-3</v>
      </c>
      <c r="W58" s="1375">
        <v>-0.11529616778256981</v>
      </c>
      <c r="X58" s="1375">
        <v>-2.9860669365786446E-2</v>
      </c>
      <c r="Y58" s="1302">
        <v>0.10522232485577591</v>
      </c>
      <c r="AB58" s="1289"/>
      <c r="AO58" s="1292"/>
    </row>
    <row r="59" spans="1:41" ht="15" customHeight="1">
      <c r="A59" s="1308">
        <v>57</v>
      </c>
      <c r="B59" s="1307">
        <f>B58+0.1</f>
        <v>2.6000000000000028</v>
      </c>
      <c r="C59" s="1292">
        <f>(B59-B$103)/B$104*E$104</f>
        <v>0.52525252525253052</v>
      </c>
      <c r="D59" s="1306">
        <v>9.879999999999999</v>
      </c>
      <c r="E59" s="1305">
        <v>9.4186892677696807</v>
      </c>
      <c r="F59" s="1304">
        <f>EXP(-(C59^2)/2)</f>
        <v>0.8711465097193779</v>
      </c>
      <c r="G59" s="1289">
        <f>$F59*$C59</f>
        <v>0.45757190409503135</v>
      </c>
      <c r="H59" s="1289">
        <f>$F59*$C59^2</f>
        <v>0.24034079811052392</v>
      </c>
      <c r="I59" s="1289">
        <f>$F59*$C59^3</f>
        <v>0.12623961112876128</v>
      </c>
      <c r="J59" s="1289">
        <f>$F59*$C59^4</f>
        <v>6.6307674532279329E-2</v>
      </c>
      <c r="K59" s="1289">
        <f>$F59*$C59^5</f>
        <v>3.4828273491702616E-2</v>
      </c>
      <c r="L59" s="1289">
        <f>$F59*$C59^6</f>
        <v>1.8293638601702571E-2</v>
      </c>
      <c r="M59" s="1289">
        <f>$F59*$C59^7</f>
        <v>9.6087798716014451E-3</v>
      </c>
      <c r="N59" s="1289">
        <f>$F59*$C59^8</f>
        <v>5.0470358921543444E-3</v>
      </c>
      <c r="O59" s="1289">
        <f>$F59*$C59^9</f>
        <v>2.6509683473942276E-3</v>
      </c>
      <c r="P59" s="1303">
        <v>0.18600778935115087</v>
      </c>
      <c r="Q59" s="1375">
        <v>0.13817019083217522</v>
      </c>
      <c r="R59" s="1375">
        <v>-5.8953274103599067E-2</v>
      </c>
      <c r="S59" s="1375">
        <v>-0.13810222631156827</v>
      </c>
      <c r="T59" s="1375">
        <v>-2.3897287367692416E-4</v>
      </c>
      <c r="U59" s="1375">
        <v>0.12354343590207578</v>
      </c>
      <c r="V59" s="1375">
        <v>3.7831943667790698E-2</v>
      </c>
      <c r="W59" s="1375">
        <v>-0.10455435803528343</v>
      </c>
      <c r="X59" s="1375">
        <v>-6.4268398208081515E-2</v>
      </c>
      <c r="Y59" s="1302">
        <v>8.457151383228384E-2</v>
      </c>
      <c r="AB59" s="1289"/>
      <c r="AO59" s="1292"/>
    </row>
    <row r="60" spans="1:41" ht="15" customHeight="1">
      <c r="A60" s="1308">
        <v>58</v>
      </c>
      <c r="B60" s="1307">
        <f>B59+0.1</f>
        <v>2.7000000000000028</v>
      </c>
      <c r="C60" s="1292">
        <f>(B60-B$103)/B$104*E$104</f>
        <v>0.60606060606061152</v>
      </c>
      <c r="D60" s="1306">
        <v>9.07</v>
      </c>
      <c r="E60" s="1305">
        <v>9.0978499369180863</v>
      </c>
      <c r="F60" s="1304">
        <f>EXP(-(C60^2)/2)</f>
        <v>0.83222309663675076</v>
      </c>
      <c r="G60" s="1289">
        <f>$F60*$C60</f>
        <v>0.50437763432530802</v>
      </c>
      <c r="H60" s="1289">
        <f>$F60*$C60^2</f>
        <v>0.30568341474261368</v>
      </c>
      <c r="I60" s="1289">
        <f>$F60*$C60^3</f>
        <v>0.18526267560158571</v>
      </c>
      <c r="J60" s="1289">
        <f>$F60*$C60^4</f>
        <v>0.11228040945550753</v>
      </c>
      <c r="K60" s="1289">
        <f>$F60*$C60^5</f>
        <v>6.804873300333851E-2</v>
      </c>
      <c r="L60" s="1289">
        <f>$F60*$C60^6</f>
        <v>4.1241656365660073E-2</v>
      </c>
      <c r="M60" s="1289">
        <f>$F60*$C60^7</f>
        <v>2.4994943251915421E-2</v>
      </c>
      <c r="N60" s="1289">
        <f>$F60*$C60^8</f>
        <v>1.5148450455706454E-2</v>
      </c>
      <c r="O60" s="1289">
        <f>$F60*$C60^9</f>
        <v>9.1808790640646003E-3</v>
      </c>
      <c r="P60" s="1303">
        <v>0.17769683598024971</v>
      </c>
      <c r="Q60" s="1375">
        <v>0.15230383107555323</v>
      </c>
      <c r="R60" s="1375">
        <v>-3.3345359091953117E-2</v>
      </c>
      <c r="S60" s="1375">
        <v>-0.14086006482787738</v>
      </c>
      <c r="T60" s="1375">
        <v>-3.1494656269724024E-2</v>
      </c>
      <c r="U60" s="1375">
        <v>0.11400727602276085</v>
      </c>
      <c r="V60" s="1375">
        <v>6.8884785563350731E-2</v>
      </c>
      <c r="W60" s="1375">
        <v>-8.3819232932640375E-2</v>
      </c>
      <c r="X60" s="1375">
        <v>-9.1696900721238345E-2</v>
      </c>
      <c r="Y60" s="1302">
        <v>5.3561430173744859E-2</v>
      </c>
      <c r="AB60" s="1289"/>
      <c r="AO60" s="1292"/>
    </row>
    <row r="61" spans="1:41" ht="15" customHeight="1">
      <c r="A61" s="1308">
        <v>59</v>
      </c>
      <c r="B61" s="1307">
        <f>B60+0.1</f>
        <v>2.8000000000000029</v>
      </c>
      <c r="C61" s="1292">
        <f>(B61-B$103)/B$104*E$104</f>
        <v>0.6868686868686924</v>
      </c>
      <c r="D61" s="1306">
        <v>8.57</v>
      </c>
      <c r="E61" s="1305">
        <v>8.7546816091519979</v>
      </c>
      <c r="F61" s="1304">
        <f>EXP(-(C61^2)/2)</f>
        <v>0.78986416092634071</v>
      </c>
      <c r="G61" s="1289">
        <f>$F61*$C61</f>
        <v>0.54253295902011722</v>
      </c>
      <c r="H61" s="1289">
        <f>$F61*$C61^2</f>
        <v>0.37264890114513399</v>
      </c>
      <c r="I61" s="1289">
        <f>$F61*$C61^3</f>
        <v>0.25596086139261937</v>
      </c>
      <c r="J61" s="1289">
        <f>$F61*$C61^4</f>
        <v>0.17581150075452781</v>
      </c>
      <c r="K61" s="1289">
        <f>$F61*$C61^5</f>
        <v>0.12075941465967663</v>
      </c>
      <c r="L61" s="1289">
        <f>$F61*$C61^6</f>
        <v>8.2945860574324015E-2</v>
      </c>
      <c r="M61" s="1289">
        <f>$F61*$C61^7</f>
        <v>5.6972914333879583E-2</v>
      </c>
      <c r="N61" s="1289">
        <f>$F61*$C61^8</f>
        <v>3.9132910855594366E-2</v>
      </c>
      <c r="O61" s="1289">
        <f>$F61*$C61^9</f>
        <v>2.6879171092731698E-2</v>
      </c>
      <c r="P61" s="1303">
        <v>0.16865232750451831</v>
      </c>
      <c r="Q61" s="1375">
        <v>0.16382536123762043</v>
      </c>
      <c r="R61" s="1375">
        <v>-6.7286914034905094E-3</v>
      </c>
      <c r="S61" s="1375">
        <v>-0.13754002579048002</v>
      </c>
      <c r="T61" s="1375">
        <v>-6.098677492256812E-2</v>
      </c>
      <c r="U61" s="1375">
        <v>9.6599331891486867E-2</v>
      </c>
      <c r="V61" s="1375">
        <v>9.4295668569947672E-2</v>
      </c>
      <c r="W61" s="1375">
        <v>-5.5118769507700081E-2</v>
      </c>
      <c r="X61" s="1375">
        <v>-0.10921542522485261</v>
      </c>
      <c r="Y61" s="1302">
        <v>1.600960880568409E-2</v>
      </c>
      <c r="AB61" s="1289"/>
      <c r="AO61" s="1292"/>
    </row>
    <row r="62" spans="1:41" ht="15" customHeight="1">
      <c r="A62" s="1308">
        <v>60</v>
      </c>
      <c r="B62" s="1307">
        <f>B61+0.1</f>
        <v>2.900000000000003</v>
      </c>
      <c r="C62" s="1292">
        <f>(B62-B$103)/B$104*E$104</f>
        <v>0.7676767676767734</v>
      </c>
      <c r="D62" s="1306">
        <v>8.66</v>
      </c>
      <c r="E62" s="1305">
        <v>8.3953190463324638</v>
      </c>
      <c r="F62" s="1304">
        <f>EXP(-(C62^2)/2)</f>
        <v>0.74478193375741775</v>
      </c>
      <c r="G62" s="1289">
        <f>$F62*$C62</f>
        <v>0.57175178753095124</v>
      </c>
      <c r="H62" s="1289">
        <f>$F62*$C62^2</f>
        <v>0.43892056416517794</v>
      </c>
      <c r="I62" s="1289">
        <f>$F62*$C62^3</f>
        <v>0.33694911996518961</v>
      </c>
      <c r="J62" s="1289">
        <f>$F62*$C62^4</f>
        <v>0.25866801128641015</v>
      </c>
      <c r="K62" s="1289">
        <f>$F62*$C62^5</f>
        <v>0.19857342280573045</v>
      </c>
      <c r="L62" s="1289">
        <f>$F62*$C62^6</f>
        <v>0.15244020336601646</v>
      </c>
      <c r="M62" s="1289">
        <f>$F62*$C62^7</f>
        <v>0.11702480258401349</v>
      </c>
      <c r="N62" s="1289">
        <f>$F62*$C62^8</f>
        <v>8.9837222185707999E-2</v>
      </c>
      <c r="O62" s="1289">
        <f>$F62*$C62^9</f>
        <v>6.8965948344584443E-2</v>
      </c>
      <c r="P62" s="1303">
        <v>0.15902634000280755</v>
      </c>
      <c r="Q62" s="1375">
        <v>0.17264839227406295</v>
      </c>
      <c r="R62" s="1375">
        <v>2.0089634950120363E-2</v>
      </c>
      <c r="S62" s="1375">
        <v>-0.12837779966979598</v>
      </c>
      <c r="T62" s="1375">
        <v>-8.7102136465541727E-2</v>
      </c>
      <c r="U62" s="1375">
        <v>7.2585282992529768E-2</v>
      </c>
      <c r="V62" s="1375">
        <v>0.11204470420404189</v>
      </c>
      <c r="W62" s="1375">
        <v>-2.1213004447295E-2</v>
      </c>
      <c r="X62" s="1375">
        <v>-0.11499863754704512</v>
      </c>
      <c r="Y62" s="1302">
        <v>-2.3506944660243913E-2</v>
      </c>
      <c r="AB62" s="1289"/>
      <c r="AO62" s="1292"/>
    </row>
    <row r="63" spans="1:41" ht="15" customHeight="1">
      <c r="A63" s="1308">
        <v>61</v>
      </c>
      <c r="B63" s="1307">
        <f>B62+0.1</f>
        <v>3.0000000000000031</v>
      </c>
      <c r="C63" s="1292">
        <f>(B63-B$103)/B$104*E$104</f>
        <v>0.84848484848485428</v>
      </c>
      <c r="D63" s="1306">
        <v>8.08</v>
      </c>
      <c r="E63" s="1305">
        <v>8.0246616477854413</v>
      </c>
      <c r="F63" s="1304">
        <f>EXP(-(C63^2)/2)</f>
        <v>0.69770195285300685</v>
      </c>
      <c r="G63" s="1289">
        <f>$F63*$C63</f>
        <v>0.59198953575407043</v>
      </c>
      <c r="H63" s="1289">
        <f>$F63*$C63^2</f>
        <v>0.50229415154891177</v>
      </c>
      <c r="I63" s="1289">
        <f>$F63*$C63^3</f>
        <v>0.42618897707180681</v>
      </c>
      <c r="J63" s="1289">
        <f>$F63*$C63^4</f>
        <v>0.36161488963668703</v>
      </c>
      <c r="K63" s="1289">
        <f>$F63*$C63^5</f>
        <v>0.30682475484325172</v>
      </c>
      <c r="L63" s="1289">
        <f>$F63*$C63^6</f>
        <v>0.26033615562457901</v>
      </c>
      <c r="M63" s="1289">
        <f>$F63*$C63^7</f>
        <v>0.22089128356025037</v>
      </c>
      <c r="N63" s="1289">
        <f>$F63*$C63^8</f>
        <v>0.18742290726324398</v>
      </c>
      <c r="O63" s="1289">
        <f>$F63*$C63^9</f>
        <v>0.15902549707184446</v>
      </c>
      <c r="P63" s="1303">
        <v>0.14897379077828651</v>
      </c>
      <c r="Q63" s="1375">
        <v>0.17875946139560844</v>
      </c>
      <c r="R63" s="1375">
        <v>4.6334470091968172E-2</v>
      </c>
      <c r="S63" s="1375">
        <v>-0.11385950426781957</v>
      </c>
      <c r="T63" s="1375">
        <v>-0.1084593761775613</v>
      </c>
      <c r="U63" s="1375">
        <v>4.3660567547586404E-2</v>
      </c>
      <c r="V63" s="1375">
        <v>0.1207727451793259</v>
      </c>
      <c r="W63" s="1375">
        <v>1.4687014918374089E-2</v>
      </c>
      <c r="X63" s="1375">
        <v>-0.1085061554924195</v>
      </c>
      <c r="Y63" s="1302">
        <v>-6.0223511263887211E-2</v>
      </c>
      <c r="AB63" s="1289"/>
      <c r="AO63" s="1292"/>
    </row>
    <row r="64" spans="1:41" ht="15" customHeight="1">
      <c r="A64" s="1308">
        <v>62</v>
      </c>
      <c r="B64" s="1307">
        <f>B63+0.1</f>
        <v>3.1000000000000032</v>
      </c>
      <c r="C64" s="1292">
        <f>(B64-B$103)/B$104*E$104</f>
        <v>0.92929292929293528</v>
      </c>
      <c r="D64" s="1306">
        <v>8.2099999999999991</v>
      </c>
      <c r="E64" s="1305">
        <v>7.6461705170524219</v>
      </c>
      <c r="F64" s="1304">
        <f>EXP(-(C64^2)/2)</f>
        <v>0.64934398848131591</v>
      </c>
      <c r="G64" s="1289">
        <f>$F64*$C64</f>
        <v>0.60343077717456006</v>
      </c>
      <c r="H64" s="1289">
        <f>$F64*$C64^2</f>
        <v>0.56076395454605943</v>
      </c>
      <c r="I64" s="1289">
        <f>$F64*$C64^3</f>
        <v>0.52111397796199799</v>
      </c>
      <c r="J64" s="1289">
        <f>$F64*$C64^4</f>
        <v>0.48426753507579923</v>
      </c>
      <c r="K64" s="1289">
        <f>$F64*$C64^5</f>
        <v>0.45002639623205876</v>
      </c>
      <c r="L64" s="1289">
        <f>$F64*$C64^6</f>
        <v>0.41820634801363299</v>
      </c>
      <c r="M64" s="1289">
        <f>$F64*$C64^7</f>
        <v>0.3886362021944898</v>
      </c>
      <c r="N64" s="1289">
        <f>$F64*$C64^8</f>
        <v>0.36115687476659886</v>
      </c>
      <c r="O64" s="1289">
        <f>$F64*$C64^9</f>
        <v>0.33562053008613441</v>
      </c>
      <c r="P64" s="1303">
        <v>0.13864836566328789</v>
      </c>
      <c r="Q64" s="1375">
        <v>0.18221430312928655</v>
      </c>
      <c r="R64" s="1375">
        <v>7.1291488070426387E-2</v>
      </c>
      <c r="S64" s="1375">
        <v>-9.4686187790678417E-2</v>
      </c>
      <c r="T64" s="1375">
        <v>-0.12398220305878657</v>
      </c>
      <c r="U64" s="1375">
        <v>1.1816213678594669E-2</v>
      </c>
      <c r="V64" s="1375">
        <v>0.11987682338149944</v>
      </c>
      <c r="W64" s="1375">
        <v>4.9236852815740369E-2</v>
      </c>
      <c r="X64" s="1375">
        <v>-9.0515226441306773E-2</v>
      </c>
      <c r="Y64" s="1302">
        <v>-8.977021378073223E-2</v>
      </c>
      <c r="AB64" s="1289"/>
      <c r="AO64" s="1292"/>
    </row>
    <row r="65" spans="1:41" ht="15" customHeight="1">
      <c r="A65" s="1308">
        <v>63</v>
      </c>
      <c r="B65" s="1307">
        <f>B64+0.1</f>
        <v>3.2000000000000033</v>
      </c>
      <c r="C65" s="1292">
        <f>(B65-B$103)/B$104*E$104</f>
        <v>1.0101010101010162</v>
      </c>
      <c r="D65" s="1306">
        <v>7.31</v>
      </c>
      <c r="E65" s="1305">
        <v>7.2619437036739773</v>
      </c>
      <c r="F65" s="1304">
        <f>EXP(-(C65^2)/2)</f>
        <v>0.60040429522850169</v>
      </c>
      <c r="G65" s="1289">
        <f>$F65*$C65</f>
        <v>0.60646898507929825</v>
      </c>
      <c r="H65" s="1289">
        <f>$F65*$C65^2</f>
        <v>0.61259493442353719</v>
      </c>
      <c r="I65" s="1289">
        <f>$F65*$C65^3</f>
        <v>0.61878276204398075</v>
      </c>
      <c r="J65" s="1289">
        <f>$F65*$C65^4</f>
        <v>0.62503309297372156</v>
      </c>
      <c r="K65" s="1289">
        <f>$F65*$C65^5</f>
        <v>0.63134655855931854</v>
      </c>
      <c r="L65" s="1289">
        <f>$F65*$C65^6</f>
        <v>0.63772379652456801</v>
      </c>
      <c r="M65" s="1289">
        <f>$F65*$C65^7</f>
        <v>0.64416545103492096</v>
      </c>
      <c r="N65" s="1289">
        <f>$F65*$C65^8</f>
        <v>0.65067217276255029</v>
      </c>
      <c r="O65" s="1289">
        <f>$F65*$C65^9</f>
        <v>0.65724461895207498</v>
      </c>
      <c r="P65" s="1303">
        <v>0.12819872940587843</v>
      </c>
      <c r="Q65" s="1375">
        <v>0.18313173219831078</v>
      </c>
      <c r="R65" s="1375">
        <v>9.4331646193202556E-2</v>
      </c>
      <c r="S65" s="1375">
        <v>-7.1728594602367621E-2</v>
      </c>
      <c r="T65" s="1375">
        <v>-0.13294968861453413</v>
      </c>
      <c r="U65" s="1375">
        <v>-2.0811848150577603E-2</v>
      </c>
      <c r="V65" s="1375">
        <v>0.10953719185837374</v>
      </c>
      <c r="W65" s="1375">
        <v>7.9279382548671173E-2</v>
      </c>
      <c r="X65" s="1375">
        <v>-6.3007450946664781E-2</v>
      </c>
      <c r="Y65" s="1302">
        <v>-0.10869184493316332</v>
      </c>
      <c r="AB65" s="1289"/>
      <c r="AO65" s="1292"/>
    </row>
    <row r="66" spans="1:41" ht="15" customHeight="1">
      <c r="A66" s="1308">
        <v>64</v>
      </c>
      <c r="B66" s="1307">
        <f>B65+0.1</f>
        <v>3.3000000000000034</v>
      </c>
      <c r="C66" s="1292">
        <f>(B66-B$103)/B$104*E$104</f>
        <v>1.090909090909097</v>
      </c>
      <c r="D66" s="1306">
        <v>6.74</v>
      </c>
      <c r="E66" s="1305">
        <v>6.8730161796915716</v>
      </c>
      <c r="F66" s="1304">
        <f>EXP(-(C66^2)/2)</f>
        <v>0.55153977449716063</v>
      </c>
      <c r="G66" s="1289">
        <f>$F66*$C66</f>
        <v>0.60167975399690588</v>
      </c>
      <c r="H66" s="1289">
        <f>$F66*$C66^2</f>
        <v>0.65637791345117369</v>
      </c>
      <c r="I66" s="1289">
        <f>$F66*$C66^3</f>
        <v>0.71604863285582987</v>
      </c>
      <c r="J66" s="1289">
        <f>$F66*$C66^4</f>
        <v>0.7811439631154552</v>
      </c>
      <c r="K66" s="1289">
        <f>$F66*$C66^5</f>
        <v>0.85215705067141057</v>
      </c>
      <c r="L66" s="1289">
        <f>$F66*$C66^6</f>
        <v>0.9296258734597258</v>
      </c>
      <c r="M66" s="1289">
        <f>$F66*$C66^7</f>
        <v>1.0141373165015246</v>
      </c>
      <c r="N66" s="1289">
        <f>$F66*$C66^8</f>
        <v>1.1063316180016696</v>
      </c>
      <c r="O66" s="1289">
        <f>$F66*$C66^9</f>
        <v>1.2069072196381918</v>
      </c>
      <c r="P66" s="1303">
        <v>0.11776514403587213</v>
      </c>
      <c r="Q66" s="1375">
        <v>0.18168555736399222</v>
      </c>
      <c r="R66" s="1375">
        <v>0.11493024194293994</v>
      </c>
      <c r="S66" s="1375">
        <v>-4.5975452255069979E-2</v>
      </c>
      <c r="T66" s="1375">
        <v>-0.1350213664423032</v>
      </c>
      <c r="U66" s="1375">
        <v>-5.2097311657872611E-2</v>
      </c>
      <c r="V66" s="1375">
        <v>9.0676529099316533E-2</v>
      </c>
      <c r="W66" s="1375">
        <v>0.10213612506869815</v>
      </c>
      <c r="X66" s="1375">
        <v>-2.8927401888270123E-2</v>
      </c>
      <c r="Y66" s="1302">
        <v>-0.11484199951112124</v>
      </c>
      <c r="AB66" s="1289"/>
      <c r="AO66" s="1292"/>
    </row>
    <row r="67" spans="1:41" ht="15" customHeight="1">
      <c r="A67" s="1308">
        <v>65</v>
      </c>
      <c r="B67" s="1307">
        <f>B66+0.1</f>
        <v>3.4000000000000035</v>
      </c>
      <c r="C67" s="1292">
        <f>(B67-B$103)/B$104*E$104</f>
        <v>1.1717171717171782</v>
      </c>
      <c r="D67" s="1306">
        <v>6.35</v>
      </c>
      <c r="E67" s="1305">
        <v>6.4798057426154143</v>
      </c>
      <c r="F67" s="1304">
        <f>EXP(-(C67^2)/2)</f>
        <v>0.50335451031720424</v>
      </c>
      <c r="G67" s="1289">
        <f>$F67*$C67</f>
        <v>0.58978912319995969</v>
      </c>
      <c r="H67" s="1289">
        <f>$F67*$C67^2</f>
        <v>0.69106604334541111</v>
      </c>
      <c r="I67" s="1289">
        <f>$F67*$C67^3</f>
        <v>0.80973394977846602</v>
      </c>
      <c r="J67" s="1289">
        <f>$F67*$C67^4</f>
        <v>0.94877917347780372</v>
      </c>
      <c r="K67" s="1289">
        <f>$F67*$C67^5</f>
        <v>1.1117008497315741</v>
      </c>
      <c r="L67" s="1289">
        <f>$F67*$C67^6</f>
        <v>1.3025989754430638</v>
      </c>
      <c r="M67" s="1289">
        <f>$F67*$C67^7</f>
        <v>1.5262775873878405</v>
      </c>
      <c r="N67" s="1289">
        <f>$F67*$C67^8</f>
        <v>1.7883656579493987</v>
      </c>
      <c r="O67" s="1289">
        <f>$F67*$C67^9</f>
        <v>2.0954587507286</v>
      </c>
      <c r="P67" s="1303">
        <v>0.10747659398210216</v>
      </c>
      <c r="Q67" s="1375">
        <v>0.17809501626733493</v>
      </c>
      <c r="R67" s="1375">
        <v>0.13267995801667573</v>
      </c>
      <c r="S67" s="1375">
        <v>-1.8478758221573504E-2</v>
      </c>
      <c r="T67" s="1375">
        <v>-0.13023690540401445</v>
      </c>
      <c r="U67" s="1375">
        <v>-8.0069549910812304E-2</v>
      </c>
      <c r="V67" s="1375">
        <v>6.4858190456342404E-2</v>
      </c>
      <c r="W67" s="1375">
        <v>0.115841344589958</v>
      </c>
      <c r="X67" s="1375">
        <v>8.1549423783708642E-3</v>
      </c>
      <c r="Y67" s="1302">
        <v>-0.10760694989190905</v>
      </c>
      <c r="AB67" s="1289"/>
      <c r="AO67" s="1292"/>
    </row>
    <row r="68" spans="1:41" ht="15" customHeight="1">
      <c r="A68" s="1308">
        <v>66</v>
      </c>
      <c r="B68" s="1307">
        <f>B67+0.1</f>
        <v>3.5000000000000036</v>
      </c>
      <c r="C68" s="1292">
        <f>(B68-B$103)/B$104*E$104</f>
        <v>1.252525252525259</v>
      </c>
      <c r="D68" s="1306">
        <v>5.65</v>
      </c>
      <c r="E68" s="1305">
        <v>6.0826145199746868</v>
      </c>
      <c r="F68" s="1304">
        <f>EXP(-(C68^2)/2)</f>
        <v>0.45638900403591198</v>
      </c>
      <c r="G68" s="1289">
        <f>$F68*$C68</f>
        <v>0.57163875252983209</v>
      </c>
      <c r="H68" s="1289">
        <f>$F68*$C68^2</f>
        <v>0.71599197286565208</v>
      </c>
      <c r="I68" s="1289">
        <f>$F68*$C68^3</f>
        <v>0.89679802661960928</v>
      </c>
      <c r="J68" s="1289">
        <f>$F68*$C68^4</f>
        <v>1.1232621747558802</v>
      </c>
      <c r="K68" s="1289">
        <f>$F68*$C68^5</f>
        <v>1.4069142390881804</v>
      </c>
      <c r="L68" s="1289">
        <f>$F68*$C68^6</f>
        <v>1.7621956125953058</v>
      </c>
      <c r="M68" s="1289">
        <f>$F68*$C68^7</f>
        <v>2.2071945046648387</v>
      </c>
      <c r="N68" s="1289">
        <f>$F68*$C68^8</f>
        <v>2.7645668543276916</v>
      </c>
      <c r="O68" s="1289">
        <f>$F68*$C68^9</f>
        <v>3.462689797339753</v>
      </c>
      <c r="P68" s="1303">
        <v>9.7448487456192043E-2</v>
      </c>
      <c r="Q68" s="1375">
        <v>0.17261425978573652</v>
      </c>
      <c r="R68" s="1375">
        <v>0.14729767170649258</v>
      </c>
      <c r="S68" s="1375">
        <v>9.7004965583244954E-3</v>
      </c>
      <c r="T68" s="1375">
        <v>-0.11899200700030005</v>
      </c>
      <c r="U68" s="1375">
        <v>-0.10304032570481197</v>
      </c>
      <c r="V68" s="1375">
        <v>3.4135689598954778E-2</v>
      </c>
      <c r="W68" s="1375">
        <v>0.11929835596071785</v>
      </c>
      <c r="X68" s="1375">
        <v>4.4436443632428754E-2</v>
      </c>
      <c r="Y68" s="1302">
        <v>-8.7938125629569569E-2</v>
      </c>
      <c r="AB68" s="1289"/>
      <c r="AO68" s="1292"/>
    </row>
    <row r="69" spans="1:41" ht="15" customHeight="1">
      <c r="A69" s="1308">
        <v>67</v>
      </c>
      <c r="B69" s="1307">
        <f>B68+0.1</f>
        <v>3.6000000000000036</v>
      </c>
      <c r="C69" s="1292">
        <f>(B69-B$103)/B$104*E$104</f>
        <v>1.3333333333333399</v>
      </c>
      <c r="D69" s="1306">
        <v>5.17</v>
      </c>
      <c r="E69" s="1305">
        <v>5.6820982184065505</v>
      </c>
      <c r="F69" s="1304">
        <f>EXP(-(C69^2)/2)</f>
        <v>0.41111229050718379</v>
      </c>
      <c r="G69" s="1289">
        <f>$F69*$C69</f>
        <v>0.54814972067624779</v>
      </c>
      <c r="H69" s="1289">
        <f>$F69*$C69^2</f>
        <v>0.73086629423500071</v>
      </c>
      <c r="I69" s="1289">
        <f>$F69*$C69^3</f>
        <v>0.97448839231333906</v>
      </c>
      <c r="J69" s="1289">
        <f>$F69*$C69^4</f>
        <v>1.2993178564177918</v>
      </c>
      <c r="K69" s="1289">
        <f>$F69*$C69^5</f>
        <v>1.7324238085570642</v>
      </c>
      <c r="L69" s="1289">
        <f>$F69*$C69^6</f>
        <v>2.3098984114094305</v>
      </c>
      <c r="M69" s="1289">
        <f>$F69*$C69^7</f>
        <v>3.0798645485459231</v>
      </c>
      <c r="N69" s="1289">
        <f>$F69*$C69^8</f>
        <v>4.1064860647279184</v>
      </c>
      <c r="O69" s="1289">
        <f>$F69*$C69^9</f>
        <v>5.4753147529705846</v>
      </c>
      <c r="P69" s="1303">
        <v>8.7780973095976156E-2</v>
      </c>
      <c r="Q69" s="1375">
        <v>0.16552142042075957</v>
      </c>
      <c r="R69" s="1375">
        <v>0.15862517608940813</v>
      </c>
      <c r="S69" s="1375">
        <v>3.7543011360182545E-2</v>
      </c>
      <c r="T69" s="1375">
        <v>-0.10199380548528396</v>
      </c>
      <c r="U69" s="1375">
        <v>-0.11970258512323796</v>
      </c>
      <c r="V69" s="1375">
        <v>8.6937911586313504E-4</v>
      </c>
      <c r="W69" s="1375">
        <v>0.11234663804910615</v>
      </c>
      <c r="X69" s="1375">
        <v>7.6282054094698237E-2</v>
      </c>
      <c r="Y69" s="1302">
        <v>-5.8197098301682584E-2</v>
      </c>
      <c r="AB69" s="1289"/>
      <c r="AO69" s="1292"/>
    </row>
    <row r="70" spans="1:41" ht="15" customHeight="1">
      <c r="A70" s="1308">
        <v>68</v>
      </c>
      <c r="B70" s="1307">
        <f>B69+0.1</f>
        <v>3.7000000000000037</v>
      </c>
      <c r="C70" s="1292">
        <f>(B70-B$103)/B$104*E$104</f>
        <v>1.4141414141414208</v>
      </c>
      <c r="D70" s="1306">
        <v>4.9000000000000004</v>
      </c>
      <c r="E70" s="1305">
        <v>5.2796298563270119</v>
      </c>
      <c r="F70" s="1304">
        <f>EXP(-(C70^2)/2)</f>
        <v>0.36791697797475015</v>
      </c>
      <c r="G70" s="1289">
        <f>$F70*$C70</f>
        <v>0.5202866355198511</v>
      </c>
      <c r="H70" s="1289">
        <f>$F70*$C70^2</f>
        <v>0.73575887851292432</v>
      </c>
      <c r="I70" s="1289">
        <f>$F70*$C70^3</f>
        <v>1.0404671009273725</v>
      </c>
      <c r="J70" s="1289">
        <f>$F70*$C70^4</f>
        <v>1.471367617473059</v>
      </c>
      <c r="K70" s="1289">
        <f>$F70*$C70^5</f>
        <v>2.080721883295245</v>
      </c>
      <c r="L70" s="1289">
        <f>$F70*$C70^6</f>
        <v>2.9424349864781378</v>
      </c>
      <c r="M70" s="1289">
        <f>$F70*$C70^7</f>
        <v>4.1610191727973858</v>
      </c>
      <c r="N70" s="1289">
        <f>$F70*$C70^8</f>
        <v>5.8842695372892608</v>
      </c>
      <c r="O70" s="1289">
        <f>$F70*$C70^9</f>
        <v>8.321189244651519</v>
      </c>
      <c r="P70" s="1303">
        <v>7.8557880878022818E-2</v>
      </c>
      <c r="Q70" s="1375">
        <v>0.15710777491766326</v>
      </c>
      <c r="R70" s="1375">
        <v>0.16662429285761315</v>
      </c>
      <c r="S70" s="1375">
        <v>6.4115592095080068E-2</v>
      </c>
      <c r="T70" s="1375">
        <v>-8.0200298542311241E-2</v>
      </c>
      <c r="U70" s="1375">
        <v>-0.12919565352315965</v>
      </c>
      <c r="V70" s="1375">
        <v>-3.247171472709056E-2</v>
      </c>
      <c r="W70" s="1375">
        <v>9.5738149837219719E-2</v>
      </c>
      <c r="X70" s="1375">
        <v>0.10059084780176641</v>
      </c>
      <c r="Y70" s="1302">
        <v>-2.1840202870668846E-2</v>
      </c>
      <c r="AB70" s="1289"/>
      <c r="AO70" s="1292"/>
    </row>
    <row r="71" spans="1:41" ht="15" customHeight="1">
      <c r="A71" s="1308">
        <v>69</v>
      </c>
      <c r="B71" s="1307">
        <f>B70+0.1</f>
        <v>3.8000000000000038</v>
      </c>
      <c r="C71" s="1292">
        <f>(B71-B$103)/B$104*E$104</f>
        <v>1.4949494949495017</v>
      </c>
      <c r="D71" s="1306">
        <v>5.21</v>
      </c>
      <c r="E71" s="1305">
        <v>4.8775080691540103</v>
      </c>
      <c r="F71" s="1304">
        <f>EXP(-(C71^2)/2)</f>
        <v>0.32711712354863376</v>
      </c>
      <c r="G71" s="1289">
        <f>$F71*$C71</f>
        <v>0.48902357863836377</v>
      </c>
      <c r="H71" s="1289">
        <f>$F71*$C71^2</f>
        <v>0.73106555190381983</v>
      </c>
      <c r="I71" s="1289">
        <f>$F71*$C71^3</f>
        <v>1.0929060775935944</v>
      </c>
      <c r="J71" s="1289">
        <f>$F71*$C71^4</f>
        <v>1.6338393887257845</v>
      </c>
      <c r="K71" s="1289">
        <f>$F71*$C71^5</f>
        <v>2.4425073690042143</v>
      </c>
      <c r="L71" s="1289">
        <f>$F71*$C71^6</f>
        <v>3.6514251577032861</v>
      </c>
      <c r="M71" s="1289">
        <f>$F71*$C71^7</f>
        <v>5.4586961953544328</v>
      </c>
      <c r="N71" s="1289">
        <f>$F71*$C71^8</f>
        <v>8.1604751203278756</v>
      </c>
      <c r="O71" s="1289">
        <f>$F71*$C71^9</f>
        <v>12.199498159682131</v>
      </c>
      <c r="P71" s="1303">
        <v>6.984626848793779E-2</v>
      </c>
      <c r="Q71" s="1375">
        <v>0.14766746073610229</v>
      </c>
      <c r="R71" s="1375">
        <v>0.17136713050346541</v>
      </c>
      <c r="S71" s="1375">
        <v>8.8607254873920155E-2</v>
      </c>
      <c r="T71" s="1375">
        <v>-5.4749131443347254E-2</v>
      </c>
      <c r="U71" s="1375">
        <v>-0.13113432179139578</v>
      </c>
      <c r="V71" s="1375">
        <v>-6.3504837118472587E-2</v>
      </c>
      <c r="W71" s="1375">
        <v>7.103057218037051E-2</v>
      </c>
      <c r="X71" s="1375">
        <v>0.11508914729297626</v>
      </c>
      <c r="Y71" s="1302">
        <v>1.7011629819558977E-2</v>
      </c>
      <c r="AB71" s="1289"/>
      <c r="AO71" s="1292"/>
    </row>
    <row r="72" spans="1:41" ht="15" customHeight="1">
      <c r="A72" s="1308">
        <v>70</v>
      </c>
      <c r="B72" s="1307">
        <f>B71+0.1</f>
        <v>3.9000000000000039</v>
      </c>
      <c r="C72" s="1292">
        <f>(B72-B$103)/B$104*E$104</f>
        <v>1.5757575757575828</v>
      </c>
      <c r="D72" s="1306">
        <v>4.5999999999999996</v>
      </c>
      <c r="E72" s="1305">
        <v>4.4789879338795684</v>
      </c>
      <c r="F72" s="1304">
        <f>EXP(-(C72^2)/2)</f>
        <v>0.28894874233042189</v>
      </c>
      <c r="G72" s="1289">
        <f>$F72*$C72</f>
        <v>0.45531316973278807</v>
      </c>
      <c r="H72" s="1289">
        <f>$F72*$C72^2</f>
        <v>0.71746317654863889</v>
      </c>
      <c r="I72" s="1289">
        <f>$F72*$C72^3</f>
        <v>1.130548035773618</v>
      </c>
      <c r="J72" s="1289">
        <f>$F72*$C72^4</f>
        <v>1.7814696321281331</v>
      </c>
      <c r="K72" s="1289">
        <f>$F72*$C72^5</f>
        <v>2.8071642688079796</v>
      </c>
      <c r="L72" s="1289">
        <f>$F72*$C72^6</f>
        <v>4.42341036297017</v>
      </c>
      <c r="M72" s="1289">
        <f>$F72*$C72^7</f>
        <v>6.970222390134845</v>
      </c>
      <c r="N72" s="1289">
        <f>$F72*$C72^8</f>
        <v>10.983380735970107</v>
      </c>
      <c r="O72" s="1289">
        <f>$F72*$C72^9</f>
        <v>17.30714540213479</v>
      </c>
      <c r="P72" s="1303">
        <v>6.1696530029135319E-2</v>
      </c>
      <c r="Q72" s="1375">
        <v>0.13748813462401083</v>
      </c>
      <c r="R72" s="1375">
        <v>0.17302244343256323</v>
      </c>
      <c r="S72" s="1375">
        <v>0.11035568696332604</v>
      </c>
      <c r="T72" s="1375">
        <v>-2.688136995655251E-2</v>
      </c>
      <c r="U72" s="1375">
        <v>-0.12560244163139803</v>
      </c>
      <c r="V72" s="1375">
        <v>-9.0108796119173204E-2</v>
      </c>
      <c r="W72" s="1375">
        <v>4.0413046862955861E-2</v>
      </c>
      <c r="X72" s="1375">
        <v>0.11852354953180402</v>
      </c>
      <c r="Y72" s="1302">
        <v>5.4060728950069109E-2</v>
      </c>
      <c r="AB72" s="1289"/>
      <c r="AO72" s="1292"/>
    </row>
    <row r="73" spans="1:41" ht="15" customHeight="1">
      <c r="A73" s="1308">
        <v>71</v>
      </c>
      <c r="B73" s="1307">
        <f>B72+0.1</f>
        <v>4.0000000000000036</v>
      </c>
      <c r="C73" s="1292">
        <f>(B73-B$103)/B$104*E$104</f>
        <v>1.6565656565656632</v>
      </c>
      <c r="D73" s="1306">
        <v>4.0299999999999994</v>
      </c>
      <c r="E73" s="1305">
        <v>4.0881402142900258</v>
      </c>
      <c r="F73" s="1304">
        <f>EXP(-(C73^2)/2)</f>
        <v>0.25357265557396141</v>
      </c>
      <c r="G73" s="1289">
        <f>$F73*$C73</f>
        <v>0.42005975266797818</v>
      </c>
      <c r="H73" s="1289">
        <f>$F73*$C73^2</f>
        <v>0.69585655997523932</v>
      </c>
      <c r="I73" s="1289">
        <f>$F73*$C73^3</f>
        <v>1.1527320791509061</v>
      </c>
      <c r="J73" s="1289">
        <f>$F73*$C73^4</f>
        <v>1.909576373542923</v>
      </c>
      <c r="K73" s="1289">
        <f>$F73*$C73^5</f>
        <v>3.1633386390004103</v>
      </c>
      <c r="L73" s="1289">
        <f>$F73*$C73^6</f>
        <v>5.2402781494552464</v>
      </c>
      <c r="M73" s="1289">
        <f>$F73*$C73^7</f>
        <v>8.6808648132390296</v>
      </c>
      <c r="N73" s="1289">
        <f>$F73*$C73^8</f>
        <v>14.380422518901076</v>
      </c>
      <c r="O73" s="1289">
        <f>$F73*$C73^9</f>
        <v>23.82211407171501</v>
      </c>
      <c r="P73" s="1303">
        <v>5.4143004164027481E-2</v>
      </c>
      <c r="Q73" s="1375">
        <v>0.126842875770182</v>
      </c>
      <c r="R73" s="1375">
        <v>0.1718391704666993</v>
      </c>
      <c r="S73" s="1375">
        <v>0.12886347604051582</v>
      </c>
      <c r="T73" s="1375">
        <v>2.1342560724096583E-3</v>
      </c>
      <c r="U73" s="1375">
        <v>-0.11311445719728151</v>
      </c>
      <c r="V73" s="1375">
        <v>-0.11056623577789074</v>
      </c>
      <c r="W73" s="1375">
        <v>6.4856026865384216E-3</v>
      </c>
      <c r="X73" s="1375">
        <v>0.11073954795266153</v>
      </c>
      <c r="Y73" s="1302">
        <v>8.5317563425204024E-2</v>
      </c>
      <c r="AO73" s="1292"/>
    </row>
    <row r="74" spans="1:41" ht="15" customHeight="1">
      <c r="A74" s="1308">
        <v>72</v>
      </c>
      <c r="B74" s="1307">
        <f>B73+0.1</f>
        <v>4.1000000000000032</v>
      </c>
      <c r="C74" s="1292">
        <f>(B74-B$103)/B$104*E$104</f>
        <v>1.7373737373737439</v>
      </c>
      <c r="D74" s="1306">
        <v>3.8899999999999997</v>
      </c>
      <c r="E74" s="1305">
        <v>3.7095690556253191</v>
      </c>
      <c r="F74" s="1304">
        <f>EXP(-(C74^2)/2)</f>
        <v>0.2210793147324451</v>
      </c>
      <c r="G74" s="1289">
        <f>$F74*$C74</f>
        <v>0.38409739529273434</v>
      </c>
      <c r="H74" s="1289">
        <f>$F74*$C74^2</f>
        <v>0.66732072717525814</v>
      </c>
      <c r="I74" s="1289">
        <f>$F74*$C74^3</f>
        <v>1.1593855057994429</v>
      </c>
      <c r="J74" s="1289">
        <f>$F74*$C74^4</f>
        <v>2.0142859292677264</v>
      </c>
      <c r="K74" s="1289">
        <f>$F74*$C74^5</f>
        <v>3.4995674730712141</v>
      </c>
      <c r="L74" s="1289">
        <f>$F74*$C74^6</f>
        <v>6.0800566198813248</v>
      </c>
      <c r="M74" s="1289">
        <f>$F74*$C74^7</f>
        <v>10.56333069312719</v>
      </c>
      <c r="N74" s="1289">
        <f>$F74*$C74^8</f>
        <v>18.352453325433164</v>
      </c>
      <c r="O74" s="1289">
        <f>$F74*$C74^9</f>
        <v>31.885070423985013</v>
      </c>
      <c r="P74" s="1303">
        <v>4.7205004147806484E-2</v>
      </c>
      <c r="Q74" s="1375">
        <v>0.1159835425444246</v>
      </c>
      <c r="R74" s="1375">
        <v>0.16812827469952035</v>
      </c>
      <c r="S74" s="1375">
        <v>0.143804225949721</v>
      </c>
      <c r="T74" s="1375">
        <v>3.1071718611759346E-2</v>
      </c>
      <c r="U74" s="1375">
        <v>-9.4550558902988427E-2</v>
      </c>
      <c r="V74" s="1375">
        <v>-0.1236635996182692</v>
      </c>
      <c r="W74" s="1375">
        <v>-2.7983588264105866E-2</v>
      </c>
      <c r="X74" s="1375">
        <v>9.264501621927021E-2</v>
      </c>
      <c r="Y74" s="1302">
        <v>0.10752627041207966</v>
      </c>
      <c r="AO74" s="1292"/>
    </row>
    <row r="75" spans="1:41" ht="15" customHeight="1">
      <c r="A75" s="1308">
        <v>73</v>
      </c>
      <c r="B75" s="1307">
        <f>B74+0.1</f>
        <v>4.2000000000000028</v>
      </c>
      <c r="C75" s="1292">
        <f>(B75-B$103)/B$104*E$104</f>
        <v>1.8181818181818243</v>
      </c>
      <c r="D75" s="1306">
        <v>3.4299999999999997</v>
      </c>
      <c r="E75" s="1305">
        <v>3.3480355286905166</v>
      </c>
      <c r="F75" s="1304">
        <f>EXP(-(C75^2)/2)</f>
        <v>0.19149519501466092</v>
      </c>
      <c r="G75" s="1289">
        <f>$F75*$C75</f>
        <v>0.34817308184483919</v>
      </c>
      <c r="H75" s="1289">
        <f>$F75*$C75^2</f>
        <v>0.63304196699061888</v>
      </c>
      <c r="I75" s="1289">
        <f>$F75*$C75^3</f>
        <v>1.1509853945284019</v>
      </c>
      <c r="J75" s="1289">
        <f>$F75*$C75^4</f>
        <v>2.0927007173243743</v>
      </c>
      <c r="K75" s="1289">
        <f>$F75*$C75^5</f>
        <v>3.8049103951352388</v>
      </c>
      <c r="L75" s="1289">
        <f>$F75*$C75^6</f>
        <v>6.9180189002459116</v>
      </c>
      <c r="M75" s="1289">
        <f>$F75*$C75^7</f>
        <v>12.578216182265338</v>
      </c>
      <c r="N75" s="1289">
        <f>$F75*$C75^8</f>
        <v>22.869483967755237</v>
      </c>
      <c r="O75" s="1289">
        <f>$F75*$C75^9</f>
        <v>41.580879941373297</v>
      </c>
      <c r="P75" s="1303">
        <v>4.0888182984880089E-2</v>
      </c>
      <c r="Q75" s="1375">
        <v>0.10513569721085361</v>
      </c>
      <c r="R75" s="1375">
        <v>0.16224397626874529</v>
      </c>
      <c r="S75" s="1375">
        <v>0.15501930152409635</v>
      </c>
      <c r="T75" s="1375">
        <v>5.8808630196653722E-2</v>
      </c>
      <c r="U75" s="1375">
        <v>-7.1072701017150033E-2</v>
      </c>
      <c r="V75" s="1375">
        <v>-0.12874407196975499</v>
      </c>
      <c r="W75" s="1375">
        <v>-6.0298783296011953E-2</v>
      </c>
      <c r="X75" s="1375">
        <v>6.6070395565131279E-2</v>
      </c>
      <c r="Y75" s="1302">
        <v>0.11848544758629687</v>
      </c>
      <c r="AB75" s="1289"/>
      <c r="AO75" s="1292"/>
    </row>
    <row r="76" spans="1:41" ht="15" customHeight="1">
      <c r="A76" s="1308">
        <v>74</v>
      </c>
      <c r="B76" s="1307">
        <f>B75+0.1</f>
        <v>4.3000000000000025</v>
      </c>
      <c r="C76" s="1292">
        <f>(B76-B$103)/B$104*E$104</f>
        <v>1.898989898989905</v>
      </c>
      <c r="D76" s="1306">
        <v>3.5</v>
      </c>
      <c r="E76" s="1305">
        <v>3.0080434050496567</v>
      </c>
      <c r="F76" s="1304">
        <f>EXP(-(C76^2)/2)</f>
        <v>0.164790333655043</v>
      </c>
      <c r="G76" s="1289">
        <f>$F76*$C76</f>
        <v>0.31293517906210283</v>
      </c>
      <c r="H76" s="1289">
        <f>$F76*$C76^2</f>
        <v>0.5942607440775306</v>
      </c>
      <c r="I76" s="1289">
        <f>$F76*$C76^3</f>
        <v>1.1284951503694556</v>
      </c>
      <c r="J76" s="1289">
        <f>$F76*$C76^4</f>
        <v>2.1430008916106904</v>
      </c>
      <c r="K76" s="1289">
        <f>$F76*$C76^5</f>
        <v>4.0695370466950616</v>
      </c>
      <c r="L76" s="1289">
        <f>$F76*$C76^6</f>
        <v>7.7280097452391301</v>
      </c>
      <c r="M76" s="1289">
        <f>$F76*$C76^7</f>
        <v>14.675412445504657</v>
      </c>
      <c r="N76" s="1289">
        <f>$F76*$C76^8</f>
        <v>27.868459997524088</v>
      </c>
      <c r="O76" s="1289">
        <f>$F76*$C76^9</f>
        <v>52.921924035702482</v>
      </c>
      <c r="P76" s="1303">
        <v>3.5186143005368924E-2</v>
      </c>
      <c r="Q76" s="1375">
        <v>9.4495123109946705E-2</v>
      </c>
      <c r="R76" s="1375">
        <v>0.154565375635493</v>
      </c>
      <c r="S76" s="1375">
        <v>0.16250644890563121</v>
      </c>
      <c r="T76" s="1375">
        <v>8.4374816560672333E-2</v>
      </c>
      <c r="U76" s="1375">
        <v>-4.402950815991178E-2</v>
      </c>
      <c r="V76" s="1375">
        <v>-0.12571336547710982</v>
      </c>
      <c r="W76" s="1375">
        <v>-8.8053056469683241E-2</v>
      </c>
      <c r="X76" s="1375">
        <v>3.3547612220163725E-2</v>
      </c>
      <c r="Y76" s="1302">
        <v>0.11723456213173106</v>
      </c>
      <c r="AB76" s="1289"/>
      <c r="AO76" s="1292"/>
    </row>
    <row r="77" spans="1:41" ht="15" customHeight="1">
      <c r="A77" s="1308">
        <v>75</v>
      </c>
      <c r="B77" s="1307">
        <f>B76+0.1</f>
        <v>4.4000000000000021</v>
      </c>
      <c r="C77" s="1292">
        <f>(B77-B$103)/B$104*E$104</f>
        <v>1.9797979797979857</v>
      </c>
      <c r="D77" s="1306">
        <v>2.94</v>
      </c>
      <c r="E77" s="1305">
        <v>2.6934438749025027</v>
      </c>
      <c r="F77" s="1304">
        <f>EXP(-(C77^2)/2)</f>
        <v>0.14088659254764058</v>
      </c>
      <c r="G77" s="1289">
        <f>$F77*$C77</f>
        <v>0.27892699130644077</v>
      </c>
      <c r="H77" s="1289">
        <f>$F77*$C77^2</f>
        <v>0.55221909389962176</v>
      </c>
      <c r="I77" s="1289">
        <f>$F77*$C77^3</f>
        <v>1.0932822465083452</v>
      </c>
      <c r="J77" s="1289">
        <f>$F77*$C77^4</f>
        <v>2.1644779829862251</v>
      </c>
      <c r="K77" s="1289">
        <f>$F77*$C77^5</f>
        <v>4.2852291380333476</v>
      </c>
      <c r="L77" s="1289">
        <f>$F77*$C77^6</f>
        <v>8.483887990449885</v>
      </c>
      <c r="M77" s="1289">
        <f>$F77*$C77^7</f>
        <v>16.796384304325073</v>
      </c>
      <c r="N77" s="1289">
        <f>$F77*$C77^8</f>
        <v>33.253447713613376</v>
      </c>
      <c r="O77" s="1289">
        <f>$F77*$C77^9</f>
        <v>65.835108604729712</v>
      </c>
      <c r="P77" s="1303">
        <v>3.008220010827525E-2</v>
      </c>
      <c r="Q77" s="1375">
        <v>8.4225878538758348E-2</v>
      </c>
      <c r="R77" s="1375">
        <v>0.14547932121428156</v>
      </c>
      <c r="S77" s="1375">
        <v>0.16640189754041596</v>
      </c>
      <c r="T77" s="1375">
        <v>0.10698678227049653</v>
      </c>
      <c r="U77" s="1375">
        <v>-1.4858118984373482E-2</v>
      </c>
      <c r="V77" s="1375">
        <v>-0.11500235373834383</v>
      </c>
      <c r="W77" s="1375">
        <v>-0.10930284270535266</v>
      </c>
      <c r="X77" s="1375">
        <v>-1.9634319092404207E-3</v>
      </c>
      <c r="Y77" s="1302">
        <v>0.10409440583186391</v>
      </c>
      <c r="AB77" s="1289"/>
      <c r="AO77" s="1292"/>
    </row>
    <row r="78" spans="1:41" ht="15" customHeight="1">
      <c r="A78" s="1308">
        <v>76</v>
      </c>
      <c r="B78" s="1307">
        <f>B77+0.1</f>
        <v>4.5000000000000018</v>
      </c>
      <c r="C78" s="1292">
        <f>(B78-B$103)/B$104*E$104</f>
        <v>2.0606060606060663</v>
      </c>
      <c r="D78" s="1306">
        <v>2.21</v>
      </c>
      <c r="E78" s="1305">
        <v>2.4071085727247272</v>
      </c>
      <c r="F78" s="1304">
        <f>EXP(-(C78^2)/2)</f>
        <v>0.11966624910955795</v>
      </c>
      <c r="G78" s="1289">
        <f>$F78*$C78</f>
        <v>0.24658499816515039</v>
      </c>
      <c r="H78" s="1289">
        <f>$F78*$C78^2</f>
        <v>0.50811454167364467</v>
      </c>
      <c r="I78" s="1289">
        <f>$F78*$C78^3</f>
        <v>1.047023904054786</v>
      </c>
      <c r="J78" s="1289">
        <f>$F78*$C78^4</f>
        <v>2.1575038022947166</v>
      </c>
      <c r="K78" s="1289">
        <f>$F78*$C78^5</f>
        <v>4.445765410789126</v>
      </c>
      <c r="L78" s="1289">
        <f>$F78*$C78^6</f>
        <v>9.1609711495048902</v>
      </c>
      <c r="M78" s="1289">
        <f>$F78*$C78^7</f>
        <v>18.877152671707101</v>
      </c>
      <c r="N78" s="1289">
        <f>$F78*$C78^8</f>
        <v>38.898375202305651</v>
      </c>
      <c r="O78" s="1289">
        <f>$F78*$C78^9</f>
        <v>80.15422768959975</v>
      </c>
      <c r="P78" s="1303">
        <v>2.5551218088429414E-2</v>
      </c>
      <c r="Q78" s="1375">
        <v>7.4459764570150536E-2</v>
      </c>
      <c r="R78" s="1375">
        <v>0.13536519744995529</v>
      </c>
      <c r="S78" s="1375">
        <v>0.16695775636190646</v>
      </c>
      <c r="T78" s="1375">
        <v>0.12606751751299974</v>
      </c>
      <c r="U78" s="1375">
        <v>1.5009638632255044E-2</v>
      </c>
      <c r="V78" s="1375">
        <v>-9.7493871333620349E-2</v>
      </c>
      <c r="W78" s="1375">
        <v>-0.12268869417607627</v>
      </c>
      <c r="X78" s="1375">
        <v>-3.7368974137927613E-2</v>
      </c>
      <c r="Y78" s="1302">
        <v>8.0567944125768065E-2</v>
      </c>
      <c r="AB78" s="1289"/>
      <c r="AO78" s="1292"/>
    </row>
    <row r="79" spans="1:41" ht="15" customHeight="1">
      <c r="A79" s="1308">
        <v>77</v>
      </c>
      <c r="B79" s="1307">
        <f>B78+0.1</f>
        <v>4.6000000000000014</v>
      </c>
      <c r="C79" s="1292">
        <f>(B79-B$103)/B$104*E$104</f>
        <v>2.1414141414141468</v>
      </c>
      <c r="D79" s="1306">
        <v>2.25</v>
      </c>
      <c r="E79" s="1305">
        <v>2.1507071683133128</v>
      </c>
      <c r="F79" s="1304">
        <f>EXP(-(C79^2)/2)</f>
        <v>0.10098055933250803</v>
      </c>
      <c r="G79" s="1289">
        <f>$F79*$C79</f>
        <v>0.216241197762543</v>
      </c>
      <c r="H79" s="1289">
        <f>$F79*$C79^2</f>
        <v>0.4630619588450427</v>
      </c>
      <c r="I79" s="1289">
        <f>$F79*$C79^3</f>
        <v>0.99160742702171012</v>
      </c>
      <c r="J79" s="1289">
        <f>$F79*$C79^4</f>
        <v>2.1234421669555865</v>
      </c>
      <c r="K79" s="1289">
        <f>$F79*$C79^5</f>
        <v>4.5471690847937927</v>
      </c>
      <c r="L79" s="1289">
        <f>$F79*$C79^6</f>
        <v>9.7373721815786496</v>
      </c>
      <c r="M79" s="1289">
        <f>$F79*$C79^7</f>
        <v>20.851746489845244</v>
      </c>
      <c r="N79" s="1289">
        <f>$F79*$C79^8</f>
        <v>44.652224806537404</v>
      </c>
      <c r="O79" s="1289">
        <f>$F79*$C79^9</f>
        <v>95.618905646322759</v>
      </c>
      <c r="P79" s="1303">
        <v>2.1561437025023569E-2</v>
      </c>
      <c r="Q79" s="1375">
        <v>6.5297032648282072E-2</v>
      </c>
      <c r="R79" s="1375">
        <v>0.12458211394802113</v>
      </c>
      <c r="S79" s="1375">
        <v>0.16451657370974559</v>
      </c>
      <c r="T79" s="1375">
        <v>0.14125217859068703</v>
      </c>
      <c r="U79" s="1375">
        <v>4.4230539801149812E-2</v>
      </c>
      <c r="V79" s="1375">
        <v>-7.4423285989571195E-2</v>
      </c>
      <c r="W79" s="1375">
        <v>-0.12749662309025209</v>
      </c>
      <c r="X79" s="1375">
        <v>-6.9725108673980518E-2</v>
      </c>
      <c r="Y79" s="1302">
        <v>4.9123434357512985E-2</v>
      </c>
      <c r="AB79" s="1289"/>
      <c r="AO79" s="1292"/>
    </row>
    <row r="80" spans="1:41" ht="15" customHeight="1">
      <c r="A80" s="1308">
        <v>78</v>
      </c>
      <c r="B80" s="1307">
        <f>B79+0.1</f>
        <v>4.7000000000000011</v>
      </c>
      <c r="C80" s="1292">
        <f>(B80-B$103)/B$104*E$104</f>
        <v>2.2222222222222272</v>
      </c>
      <c r="D80" s="1306">
        <v>1.72</v>
      </c>
      <c r="E80" s="1305">
        <v>1.9246093747002393</v>
      </c>
      <c r="F80" s="1304">
        <f>EXP(-(C80^2)/2)</f>
        <v>8.4657988622529032E-2</v>
      </c>
      <c r="G80" s="1289">
        <f>$F80*$C80</f>
        <v>0.18812886360562051</v>
      </c>
      <c r="H80" s="1289">
        <f>$F80*$C80^2</f>
        <v>0.41806414134582426</v>
      </c>
      <c r="I80" s="1289">
        <f>$F80*$C80^3</f>
        <v>0.92903142521294479</v>
      </c>
      <c r="J80" s="1289">
        <f>$F80*$C80^4</f>
        <v>2.0645142782509929</v>
      </c>
      <c r="K80" s="1289">
        <f>$F80*$C80^5</f>
        <v>4.5878095072244394</v>
      </c>
      <c r="L80" s="1289">
        <f>$F80*$C80^6</f>
        <v>10.195132238276553</v>
      </c>
      <c r="M80" s="1289">
        <f>$F80*$C80^7</f>
        <v>22.655849418392389</v>
      </c>
      <c r="N80" s="1289">
        <f>$F80*$C80^8</f>
        <v>50.346332040872092</v>
      </c>
      <c r="O80" s="1289">
        <f>$F80*$C80^9</f>
        <v>111.8807378686049</v>
      </c>
      <c r="P80" s="1303">
        <v>1.8076230736050344E-2</v>
      </c>
      <c r="Q80" s="1375">
        <v>5.6808122948107088E-2</v>
      </c>
      <c r="R80" s="1375">
        <v>0.11345877843400812</v>
      </c>
      <c r="S80" s="1375">
        <v>0.15948485371378407</v>
      </c>
      <c r="T80" s="1375">
        <v>0.15238108008138429</v>
      </c>
      <c r="U80" s="1375">
        <v>7.1618081664833355E-2</v>
      </c>
      <c r="V80" s="1375">
        <v>-4.7263590129930894E-2</v>
      </c>
      <c r="W80" s="1375">
        <v>-0.12366059387818497</v>
      </c>
      <c r="X80" s="1375">
        <v>-9.6484224562957022E-2</v>
      </c>
      <c r="Y80" s="1302">
        <v>1.2893128570813706E-2</v>
      </c>
      <c r="AB80" s="1289"/>
      <c r="AO80" s="1292"/>
    </row>
    <row r="81" spans="1:41" ht="15" customHeight="1">
      <c r="A81" s="1308">
        <v>79</v>
      </c>
      <c r="B81" s="1307">
        <f>B80+0.1</f>
        <v>4.8000000000000007</v>
      </c>
      <c r="C81" s="1292">
        <f>(B81-B$103)/B$104*E$104</f>
        <v>2.3030303030303081</v>
      </c>
      <c r="D81" s="1306">
        <v>1.7</v>
      </c>
      <c r="E81" s="1305">
        <v>1.7279141090887369</v>
      </c>
      <c r="F81" s="1304">
        <f>EXP(-(C81^2)/2)</f>
        <v>7.0511864796512322E-2</v>
      </c>
      <c r="G81" s="1289">
        <f>$F81*$C81</f>
        <v>0.16239096134954389</v>
      </c>
      <c r="H81" s="1289">
        <f>$F81*$C81^2</f>
        <v>0.37399130492622307</v>
      </c>
      <c r="I81" s="1289">
        <f>$F81*$C81^3</f>
        <v>0.86131330831493991</v>
      </c>
      <c r="J81" s="1289">
        <f>$F81*$C81^4</f>
        <v>1.9836306494525933</v>
      </c>
      <c r="K81" s="1289">
        <f>$F81*$C81^5</f>
        <v>4.5683614957090128</v>
      </c>
      <c r="L81" s="1289">
        <f>$F81*$C81^6</f>
        <v>10.521074959814719</v>
      </c>
      <c r="M81" s="1289">
        <f>$F81*$C81^7</f>
        <v>24.230354452906674</v>
      </c>
      <c r="N81" s="1289">
        <f>$F81*$C81^8</f>
        <v>55.803240558209438</v>
      </c>
      <c r="O81" s="1289">
        <f>$F81*$C81^9</f>
        <v>128.51655401284626</v>
      </c>
      <c r="P81" s="1303">
        <v>1.5055740851274658E-2</v>
      </c>
      <c r="Q81" s="1375">
        <v>4.9036205934593485E-2</v>
      </c>
      <c r="R81" s="1375">
        <v>0.10228614959898706</v>
      </c>
      <c r="S81" s="1375">
        <v>0.15230713516594038</v>
      </c>
      <c r="T81" s="1375">
        <v>0.15948211389208369</v>
      </c>
      <c r="U81" s="1375">
        <v>9.6192531838397585E-2</v>
      </c>
      <c r="V81" s="1375">
        <v>-1.760579108314066E-2</v>
      </c>
      <c r="W81" s="1375">
        <v>-0.11171215312498656</v>
      </c>
      <c r="X81" s="1375">
        <v>-0.11568387010826953</v>
      </c>
      <c r="Y81" s="1302">
        <v>-2.4672759720077098E-2</v>
      </c>
      <c r="AB81" s="1289"/>
      <c r="AO81" s="1292"/>
    </row>
    <row r="82" spans="1:41" ht="15" customHeight="1">
      <c r="A82" s="1308">
        <v>80</v>
      </c>
      <c r="B82" s="1307">
        <f>B81+0.1</f>
        <v>4.9000000000000004</v>
      </c>
      <c r="C82" s="1292">
        <f>(B82-B$103)/B$104*E$104</f>
        <v>2.3838383838383885</v>
      </c>
      <c r="D82" s="1306">
        <v>1.4</v>
      </c>
      <c r="E82" s="1305">
        <v>1.5585930566040522</v>
      </c>
      <c r="F82" s="1304">
        <f>EXP(-(C82^2)/2)</f>
        <v>5.8347269290840352E-2</v>
      </c>
      <c r="G82" s="1289">
        <f>$F82*$C82</f>
        <v>0.1390904601276601</v>
      </c>
      <c r="H82" s="1289">
        <f>$F82*$C82^2</f>
        <v>0.3315691776780591</v>
      </c>
      <c r="I82" s="1289">
        <f>$F82*$C82^3</f>
        <v>0.79040733264668794</v>
      </c>
      <c r="J82" s="1289">
        <f>$F82*$C82^4</f>
        <v>1.8842033384304921</v>
      </c>
      <c r="K82" s="1289">
        <f>$F82*$C82^5</f>
        <v>4.4916362411070407</v>
      </c>
      <c r="L82" s="1289">
        <f>$F82*$C82^6</f>
        <v>10.707334877790542</v>
      </c>
      <c r="M82" s="1289">
        <f>$F82*$C82^7</f>
        <v>25.524555870288616</v>
      </c>
      <c r="N82" s="1289">
        <f>$F82*$C82^8</f>
        <v>60.846416014021464</v>
      </c>
      <c r="O82" s="1289">
        <f>$F82*$C82^9</f>
        <v>145.04802201322318</v>
      </c>
      <c r="P82" s="1303">
        <v>1.2458348227742376E-2</v>
      </c>
      <c r="Q82" s="1375">
        <v>4.2000296012020086E-2</v>
      </c>
      <c r="R82" s="1375">
        <v>9.1312801010532393E-2</v>
      </c>
      <c r="S82" s="1375">
        <v>0.14344197157449501</v>
      </c>
      <c r="T82" s="1375">
        <v>0.16274513683423172</v>
      </c>
      <c r="U82" s="1375">
        <v>0.11721175734312003</v>
      </c>
      <c r="V82" s="1375">
        <v>1.2955560715485417E-2</v>
      </c>
      <c r="W82" s="1375">
        <v>-9.2687375115200185E-2</v>
      </c>
      <c r="X82" s="1375">
        <v>-0.12606577816382258</v>
      </c>
      <c r="Y82" s="1302">
        <v>-6.0156086654876262E-2</v>
      </c>
      <c r="AB82" s="1289"/>
      <c r="AO82" s="1292"/>
    </row>
    <row r="83" spans="1:41" ht="15" customHeight="1">
      <c r="A83" s="1308">
        <v>81</v>
      </c>
      <c r="B83" s="1307">
        <f>B82+0.1</f>
        <v>5</v>
      </c>
      <c r="C83" s="1292">
        <f>(B83-B$103)/B$104*E$104</f>
        <v>2.464646464646469</v>
      </c>
      <c r="D83" s="1306">
        <v>1.3199999999999998</v>
      </c>
      <c r="E83" s="1305">
        <v>1.4137238271095049</v>
      </c>
      <c r="F83" s="1304">
        <f>EXP(-(C83^2)/2)</f>
        <v>4.7967043489951428E-2</v>
      </c>
      <c r="G83" s="1289">
        <f>$F83*$C83</f>
        <v>0.1182218041570522</v>
      </c>
      <c r="H83" s="1289">
        <f>$F83*$C83^2</f>
        <v>0.29137495165980593</v>
      </c>
      <c r="I83" s="1289">
        <f>$F83*$C83^3</f>
        <v>0.71813624449487645</v>
      </c>
      <c r="J83" s="1289">
        <f>$F83*$C83^4</f>
        <v>1.7699519561287895</v>
      </c>
      <c r="K83" s="1289">
        <f>$F83*$C83^5</f>
        <v>4.3623058312669238</v>
      </c>
      <c r="L83" s="1289">
        <f>$F83*$C83^6</f>
        <v>10.751541644738698</v>
      </c>
      <c r="M83" s="1289">
        <f>$F83*$C83^7</f>
        <v>26.498749104204514</v>
      </c>
      <c r="N83" s="1289">
        <f>$F83*$C83^8</f>
        <v>65.310048297231447</v>
      </c>
      <c r="O83" s="1289">
        <f>$F83*$C83^9</f>
        <v>160.96617964166163</v>
      </c>
      <c r="P83" s="1303">
        <v>1.024195542509989E-2</v>
      </c>
      <c r="Q83" s="1375">
        <v>3.5698715534580865E-2</v>
      </c>
      <c r="R83" s="1375">
        <v>8.0742791796701005E-2</v>
      </c>
      <c r="S83" s="1375">
        <v>0.13334083448091869</v>
      </c>
      <c r="T83" s="1375">
        <v>0.16249104585924934</v>
      </c>
      <c r="U83" s="1375">
        <v>0.13418328574867155</v>
      </c>
      <c r="V83" s="1375">
        <v>4.2923559787719334E-2</v>
      </c>
      <c r="W83" s="1375">
        <v>-6.800397766121305E-2</v>
      </c>
      <c r="X83" s="1375">
        <v>-0.12712118128297734</v>
      </c>
      <c r="Y83" s="1302">
        <v>-9.0487844377714177E-2</v>
      </c>
      <c r="AB83" s="1289"/>
      <c r="AO83" s="1292"/>
    </row>
    <row r="84" spans="1:41" ht="15" customHeight="1">
      <c r="A84" s="1308">
        <v>82</v>
      </c>
      <c r="B84" s="1307">
        <f>B83+0.1</f>
        <v>5.0999999999999996</v>
      </c>
      <c r="C84" s="1292">
        <f>(B84-B$103)/B$104*E$104</f>
        <v>2.5454545454545494</v>
      </c>
      <c r="D84" s="1306">
        <v>1.41</v>
      </c>
      <c r="E84" s="1305">
        <v>1.2897803509460604</v>
      </c>
      <c r="F84" s="1304">
        <f>EXP(-(C84^2)/2)</f>
        <v>3.9176843981361377E-2</v>
      </c>
      <c r="G84" s="1289">
        <f>$F84*$C84</f>
        <v>9.9722875588920026E-2</v>
      </c>
      <c r="H84" s="1289">
        <f>$F84*$C84^2</f>
        <v>0.25384004695361501</v>
      </c>
      <c r="I84" s="1289">
        <f>$F84*$C84^3</f>
        <v>0.64613830133647554</v>
      </c>
      <c r="J84" s="1289">
        <f>$F84*$C84^4</f>
        <v>1.644715676129213</v>
      </c>
      <c r="K84" s="1289">
        <f>$F84*$C84^5</f>
        <v>4.1865489937834584</v>
      </c>
      <c r="L84" s="1289">
        <f>$F84*$C84^6</f>
        <v>10.656670165994273</v>
      </c>
      <c r="M84" s="1289">
        <f>$F84*$C84^7</f>
        <v>27.126069513440008</v>
      </c>
      <c r="N84" s="1289">
        <f>$F84*$C84^8</f>
        <v>69.048176943301954</v>
      </c>
      <c r="O84" s="1289">
        <f>$F84*$C84^9</f>
        <v>175.75899585567799</v>
      </c>
      <c r="P84" s="1303">
        <v>8.3650661070503608E-3</v>
      </c>
      <c r="Q84" s="1375">
        <v>3.0112707155187886E-2</v>
      </c>
      <c r="R84" s="1375">
        <v>7.0735738039692339E-2</v>
      </c>
      <c r="S84" s="1375">
        <v>0.12243062667115547</v>
      </c>
      <c r="T84" s="1375">
        <v>0.15913821165400743</v>
      </c>
      <c r="U84" s="1375">
        <v>0.14685938533047124</v>
      </c>
      <c r="V84" s="1375">
        <v>7.0980887640941792E-2</v>
      </c>
      <c r="W84" s="1375">
        <v>-3.9322551024337841E-2</v>
      </c>
      <c r="X84" s="1375">
        <v>-0.11906632688066998</v>
      </c>
      <c r="Y84" s="1302">
        <v>-0.1132028856190137</v>
      </c>
      <c r="AB84" s="1289"/>
      <c r="AO84" s="1292"/>
    </row>
    <row r="85" spans="1:41" ht="15" customHeight="1">
      <c r="A85" s="1308">
        <v>83</v>
      </c>
      <c r="B85" s="1307">
        <f>B84+0.1</f>
        <v>5.1999999999999993</v>
      </c>
      <c r="C85" s="1292">
        <f>(B85-B$103)/B$104*E$104</f>
        <v>2.6262626262626303</v>
      </c>
      <c r="D85" s="1306">
        <v>0.67</v>
      </c>
      <c r="E85" s="1305">
        <v>1.1829454655929192</v>
      </c>
      <c r="F85" s="1304">
        <f>EXP(-(C85^2)/2)</f>
        <v>3.1789231104806505E-2</v>
      </c>
      <c r="G85" s="1289">
        <f>$F85*$C85</f>
        <v>8.3486869568178829E-2</v>
      </c>
      <c r="H85" s="1289">
        <f>$F85*$C85^2</f>
        <v>0.21925844533057101</v>
      </c>
      <c r="I85" s="1289">
        <f>$F85*$C85^3</f>
        <v>0.57583026046412666</v>
      </c>
      <c r="J85" s="1289">
        <f>$F85*$C85^4</f>
        <v>1.5122814921280121</v>
      </c>
      <c r="K85" s="1289">
        <f>$F85*$C85^5</f>
        <v>3.9716483631644821</v>
      </c>
      <c r="L85" s="1289">
        <f>$F85*$C85^6</f>
        <v>10.430591660836031</v>
      </c>
      <c r="M85" s="1289">
        <f>$F85*$C85^7</f>
        <v>27.393473048660322</v>
      </c>
      <c r="N85" s="1289">
        <f>$F85*$C85^8</f>
        <v>71.942454471229254</v>
      </c>
      <c r="O85" s="1289">
        <f>$F85*$C85^9</f>
        <v>188.93977941939025</v>
      </c>
      <c r="P85" s="1303">
        <v>6.7876580311197659E-3</v>
      </c>
      <c r="Q85" s="1375">
        <v>2.5210019664628359E-2</v>
      </c>
      <c r="R85" s="1375">
        <v>6.1408711950426451E-2</v>
      </c>
      <c r="S85" s="1375">
        <v>0.11110016478232508</v>
      </c>
      <c r="T85" s="1375">
        <v>0.15316870552973122</v>
      </c>
      <c r="U85" s="1375">
        <v>0.15521794492667157</v>
      </c>
      <c r="V85" s="1375">
        <v>9.6048944797033312E-2</v>
      </c>
      <c r="W85" s="1375">
        <v>-8.405448055666509E-3</v>
      </c>
      <c r="X85" s="1375">
        <v>-0.10275849096546708</v>
      </c>
      <c r="Y85" s="1302">
        <v>-0.12661295305986608</v>
      </c>
      <c r="AB85" s="1289"/>
      <c r="AO85" s="1292"/>
    </row>
    <row r="86" spans="1:41" ht="15" customHeight="1">
      <c r="A86" s="1308">
        <v>84</v>
      </c>
      <c r="B86" s="1307">
        <f>B85+0.1</f>
        <v>5.2999999999999989</v>
      </c>
      <c r="C86" s="1292">
        <f>(B86-B$103)/B$104*E$104</f>
        <v>2.7070707070707107</v>
      </c>
      <c r="D86" s="1306">
        <v>1.3</v>
      </c>
      <c r="E86" s="1305">
        <v>1.0894124535816998</v>
      </c>
      <c r="F86" s="1304">
        <f>EXP(-(C86^2)/2)</f>
        <v>2.5626817773420883E-2</v>
      </c>
      <c r="G86" s="1289">
        <f>$F86*$C86</f>
        <v>6.9373607709866725E-2</v>
      </c>
      <c r="H86" s="1289">
        <f>$F86*$C86^2</f>
        <v>0.18779926127519503</v>
      </c>
      <c r="I86" s="1289">
        <f>$F86*$C86^3</f>
        <v>0.50838587900759935</v>
      </c>
      <c r="J86" s="1289">
        <f>$F86*$C86^4</f>
        <v>1.3762365209498666</v>
      </c>
      <c r="K86" s="1289">
        <f>$F86*$C86^5</f>
        <v>3.7255695718642907</v>
      </c>
      <c r="L86" s="1289">
        <f>$F86*$C86^6</f>
        <v>10.08538025514779</v>
      </c>
      <c r="M86" s="1289">
        <f>$F86*$C86^7</f>
        <v>27.301837458379914</v>
      </c>
      <c r="N86" s="1289">
        <f>$F86*$C86^8</f>
        <v>73.908004432786129</v>
      </c>
      <c r="O86" s="1289">
        <f>$F86*$C86^9</f>
        <v>200.07419381804755</v>
      </c>
      <c r="P86" s="1303">
        <v>5.471855387074993E-3</v>
      </c>
      <c r="Q86" s="1375">
        <v>2.0948324252878361E-2</v>
      </c>
      <c r="R86" s="1375">
        <v>5.2839562458606985E-2</v>
      </c>
      <c r="S86" s="1375">
        <v>9.9690694098578517E-2</v>
      </c>
      <c r="T86" s="1375">
        <v>0.14509637980124057</v>
      </c>
      <c r="U86" s="1375">
        <v>0.15943255409651119</v>
      </c>
      <c r="V86" s="1375">
        <v>0.11732296661571052</v>
      </c>
      <c r="W86" s="1375">
        <v>2.3014744186550428E-2</v>
      </c>
      <c r="X86" s="1375">
        <v>-7.9567272576159143E-2</v>
      </c>
      <c r="Y86" s="1302">
        <v>-0.1298896250305337</v>
      </c>
      <c r="AB86" s="1289"/>
      <c r="AO86" s="1292"/>
    </row>
    <row r="87" spans="1:41" ht="15" customHeight="1">
      <c r="A87" s="1308">
        <v>85</v>
      </c>
      <c r="B87" s="1307">
        <f>B86+0.1</f>
        <v>5.3999999999999986</v>
      </c>
      <c r="C87" s="1292">
        <f>(B87-B$103)/B$104*E$104</f>
        <v>2.7878787878787912</v>
      </c>
      <c r="D87" s="1306">
        <v>1.3599999999999999</v>
      </c>
      <c r="E87" s="1305">
        <v>1.0056477242765531</v>
      </c>
      <c r="F87" s="1304">
        <f>EXP(-(C87^2)/2)</f>
        <v>2.0524539335735361E-2</v>
      </c>
      <c r="G87" s="1289">
        <f>$F87*$C87</f>
        <v>5.7219927845080468E-2</v>
      </c>
      <c r="H87" s="1289">
        <f>$F87*$C87^2</f>
        <v>0.15952222308325484</v>
      </c>
      <c r="I87" s="1289">
        <f>$F87*$C87^3</f>
        <v>0.44472862192907464</v>
      </c>
      <c r="J87" s="1289">
        <f>$F87*$C87^4</f>
        <v>1.2398494914386338</v>
      </c>
      <c r="K87" s="1289">
        <f>$F87*$C87^5</f>
        <v>3.4565500973440741</v>
      </c>
      <c r="L87" s="1289">
        <f>$F87*$C87^6</f>
        <v>9.6364426956259148</v>
      </c>
      <c r="M87" s="1289">
        <f>$F87*$C87^7</f>
        <v>26.865234181745006</v>
      </c>
      <c r="N87" s="1289">
        <f>$F87*$C87^8</f>
        <v>74.897016506683144</v>
      </c>
      <c r="O87" s="1289">
        <f>$F87*$C87^9</f>
        <v>208.80380359438965</v>
      </c>
      <c r="P87" s="1303">
        <v>4.3824134593862911E-3</v>
      </c>
      <c r="Q87" s="1375">
        <v>1.7278351837172547E-2</v>
      </c>
      <c r="R87" s="1375">
        <v>4.5071247249674581E-2</v>
      </c>
      <c r="S87" s="1375">
        <v>8.8490248100139224E-2</v>
      </c>
      <c r="T87" s="1375">
        <v>0.1354384003017918</v>
      </c>
      <c r="U87" s="1375">
        <v>0.15983543672523981</v>
      </c>
      <c r="V87" s="1375">
        <v>0.13428402161972749</v>
      </c>
      <c r="W87" s="1375">
        <v>5.3347748124475167E-2</v>
      </c>
      <c r="X87" s="1375">
        <v>-5.1218308565565751E-2</v>
      </c>
      <c r="Y87" s="1302">
        <v>-0.123059285126079</v>
      </c>
      <c r="AO87" s="1292"/>
    </row>
    <row r="88" spans="1:41" ht="15" customHeight="1">
      <c r="A88" s="1308">
        <v>86</v>
      </c>
      <c r="B88" s="1307">
        <f>B87+0.1</f>
        <v>5.4999999999999982</v>
      </c>
      <c r="C88" s="1292">
        <f>(B88-B$103)/B$104*E$104</f>
        <v>2.8686868686868721</v>
      </c>
      <c r="D88" s="1306">
        <v>0.62</v>
      </c>
      <c r="E88" s="1305">
        <v>0.92859468255336974</v>
      </c>
      <c r="F88" s="1304">
        <f>EXP(-(C88^2)/2)</f>
        <v>1.633113002139552E-2</v>
      </c>
      <c r="G88" s="1289">
        <f>$F88*$C88</f>
        <v>4.6848898243195283E-2</v>
      </c>
      <c r="H88" s="1289">
        <f>$F88*$C88^2</f>
        <v>0.13439481920270177</v>
      </c>
      <c r="I88" s="1289">
        <f>$F88*$C88^3</f>
        <v>0.38553665306633689</v>
      </c>
      <c r="J88" s="1289">
        <f>$F88*$C88^4</f>
        <v>1.1059839340488868</v>
      </c>
      <c r="K88" s="1289">
        <f>$F88*$C88^5</f>
        <v>3.1727215885846891</v>
      </c>
      <c r="L88" s="1289">
        <f>$F88*$C88^6</f>
        <v>9.1015447591722509</v>
      </c>
      <c r="M88" s="1289">
        <f>$F88*$C88^7</f>
        <v>26.109481935403252</v>
      </c>
      <c r="N88" s="1289">
        <f>$F88*$C88^8</f>
        <v>74.899927976308405</v>
      </c>
      <c r="O88" s="1289">
        <f>$F88*$C88^9</f>
        <v>214.86443985122841</v>
      </c>
      <c r="P88" s="1303">
        <v>3.4870338789111527E-3</v>
      </c>
      <c r="Q88" s="1375">
        <v>1.4146675424363164E-2</v>
      </c>
      <c r="R88" s="1375">
        <v>3.8116787438337539E-2</v>
      </c>
      <c r="S88" s="1375">
        <v>7.7731471278237041E-2</v>
      </c>
      <c r="T88" s="1375">
        <v>0.12469133194959009</v>
      </c>
      <c r="U88" s="1375">
        <v>0.1568768152582751</v>
      </c>
      <c r="V88" s="1375">
        <v>0.14669048929127312</v>
      </c>
      <c r="W88" s="1375">
        <v>8.1232772142907847E-2</v>
      </c>
      <c r="X88" s="1375">
        <v>-1.9626832853802068E-2</v>
      </c>
      <c r="Y88" s="1302">
        <v>-0.10692109444740017</v>
      </c>
      <c r="AO88" s="1292"/>
    </row>
    <row r="89" spans="1:41" ht="15" customHeight="1">
      <c r="A89" s="1308">
        <v>87</v>
      </c>
      <c r="B89" s="1307">
        <f>B88+0.1</f>
        <v>5.5999999999999979</v>
      </c>
      <c r="C89" s="1292">
        <f>(B89-B$103)/B$104*E$104</f>
        <v>2.9494949494949525</v>
      </c>
      <c r="D89" s="1306">
        <v>1.1099999999999999</v>
      </c>
      <c r="E89" s="1305">
        <v>0.85580777639006511</v>
      </c>
      <c r="F89" s="1304">
        <f>EXP(-(C89^2)/2)</f>
        <v>1.2909907636709716E-2</v>
      </c>
      <c r="G89" s="1289">
        <f>$F89*$C89</f>
        <v>3.8077707372921626E-2</v>
      </c>
      <c r="H89" s="1289">
        <f>$F89*$C89^2</f>
        <v>0.11231000558477905</v>
      </c>
      <c r="I89" s="1289">
        <f>$F89*$C89^3</f>
        <v>0.33125779425005569</v>
      </c>
      <c r="J89" s="1289">
        <f>$F89*$C89^4</f>
        <v>0.97704319112137761</v>
      </c>
      <c r="K89" s="1289">
        <f>$F89*$C89^5</f>
        <v>2.8817839576509345</v>
      </c>
      <c r="L89" s="1289">
        <f>$F89*$C89^6</f>
        <v>8.4998072286270094</v>
      </c>
      <c r="M89" s="1289">
        <f>$F89*$C89^7</f>
        <v>25.070138492516048</v>
      </c>
      <c r="N89" s="1289">
        <f>$F89*$C89^8</f>
        <v>73.944246866815107</v>
      </c>
      <c r="O89" s="1289">
        <f>$F89*$C89^9</f>
        <v>218.09818267787912</v>
      </c>
      <c r="P89" s="1303">
        <v>2.7565321716161132E-3</v>
      </c>
      <c r="Q89" s="1375">
        <v>1.1498092533837786E-2</v>
      </c>
      <c r="R89" s="1375">
        <v>3.1964496089453912E-2</v>
      </c>
      <c r="S89" s="1375">
        <v>6.7592389518255386E-2</v>
      </c>
      <c r="T89" s="1375">
        <v>0.11331238923136881</v>
      </c>
      <c r="U89" s="1375">
        <v>0.15108394025228816</v>
      </c>
      <c r="V89" s="1375">
        <v>0.15455281693404704</v>
      </c>
      <c r="W89" s="1375">
        <v>0.10559708413965742</v>
      </c>
      <c r="X89" s="1375">
        <v>1.3263005162349906E-2</v>
      </c>
      <c r="Y89" s="1302">
        <v>-8.2905399652962064E-2</v>
      </c>
      <c r="AO89" s="1292"/>
    </row>
    <row r="90" spans="1:41" ht="15" customHeight="1">
      <c r="A90" s="1308">
        <v>88</v>
      </c>
      <c r="B90" s="1307">
        <f>B89+0.1</f>
        <v>5.6999999999999975</v>
      </c>
      <c r="C90" s="1292">
        <f>(B90-B$103)/B$104*E$104</f>
        <v>3.0303030303030329</v>
      </c>
      <c r="D90" s="1306">
        <v>0.63</v>
      </c>
      <c r="E90" s="1305">
        <v>0.78551452234592511</v>
      </c>
      <c r="F90" s="1304">
        <f>EXP(-(C90^2)/2)</f>
        <v>1.0138976449967472E-2</v>
      </c>
      <c r="G90" s="1289">
        <f>$F90*$C90</f>
        <v>3.0724171060507517E-2</v>
      </c>
      <c r="H90" s="1289">
        <f>$F90*$C90^2</f>
        <v>9.310354866820468E-2</v>
      </c>
      <c r="I90" s="1289">
        <f>$F90*$C90^3</f>
        <v>0.2821319656612265</v>
      </c>
      <c r="J90" s="1289">
        <f>$F90*$C90^4</f>
        <v>0.85494535048856601</v>
      </c>
      <c r="K90" s="1289">
        <f>$F90*$C90^5</f>
        <v>2.5907434863289902</v>
      </c>
      <c r="L90" s="1289">
        <f>$F90*$C90^6</f>
        <v>7.8507378373605823</v>
      </c>
      <c r="M90" s="1289">
        <f>$F90*$C90^7</f>
        <v>23.79011465866845</v>
      </c>
      <c r="N90" s="1289">
        <f>$F90*$C90^8</f>
        <v>72.091256541419611</v>
      </c>
      <c r="O90" s="1289">
        <f>$F90*$C90^9</f>
        <v>218.45835315581721</v>
      </c>
      <c r="P90" s="1303">
        <v>2.1648810787865498E-3</v>
      </c>
      <c r="Q90" s="1375">
        <v>9.2775901243046886E-3</v>
      </c>
      <c r="R90" s="1375">
        <v>2.6583184556003357E-2</v>
      </c>
      <c r="S90" s="1375">
        <v>5.8199536399732792E-2</v>
      </c>
      <c r="T90" s="1375">
        <v>0.10170601920608606</v>
      </c>
      <c r="U90" s="1375">
        <v>0.14302248603714379</v>
      </c>
      <c r="V90" s="1375">
        <v>0.15809603625174312</v>
      </c>
      <c r="W90" s="1375">
        <v>0.12568568997442098</v>
      </c>
      <c r="X90" s="1375">
        <v>4.5620015151759619E-2</v>
      </c>
      <c r="Y90" s="1302">
        <v>-5.2893665090220088E-2</v>
      </c>
      <c r="AO90" s="1292"/>
    </row>
    <row r="91" spans="1:41" ht="15" customHeight="1">
      <c r="A91" s="1308">
        <v>89</v>
      </c>
      <c r="B91" s="1307">
        <f>B90+0.1</f>
        <v>5.7999999999999972</v>
      </c>
      <c r="C91" s="1292">
        <f>(B91-B$103)/B$104*E$104</f>
        <v>3.1111111111111138</v>
      </c>
      <c r="D91" s="1306">
        <v>0.97</v>
      </c>
      <c r="E91" s="1305">
        <v>0.71661095953365506</v>
      </c>
      <c r="F91" s="1304">
        <f>EXP(-(C91^2)/2)</f>
        <v>7.9109597339301826E-3</v>
      </c>
      <c r="G91" s="1289">
        <f>$F91*$C91</f>
        <v>2.4611874727782812E-2</v>
      </c>
      <c r="H91" s="1289">
        <f>$F91*$C91^2</f>
        <v>7.6570276930879921E-2</v>
      </c>
      <c r="I91" s="1289">
        <f>$F91*$C91^3</f>
        <v>0.23821863934051551</v>
      </c>
      <c r="J91" s="1289">
        <f>$F91*$C91^4</f>
        <v>0.74112465572604891</v>
      </c>
      <c r="K91" s="1289">
        <f>$F91*$C91^5</f>
        <v>2.3057211511477096</v>
      </c>
      <c r="L91" s="1289">
        <f>$F91*$C91^6</f>
        <v>7.1733546924595473</v>
      </c>
      <c r="M91" s="1289">
        <f>$F91*$C91^7</f>
        <v>22.317103487651945</v>
      </c>
      <c r="N91" s="1289">
        <f>$F91*$C91^8</f>
        <v>69.43098862825056</v>
      </c>
      <c r="O91" s="1289">
        <f>$F91*$C91^9</f>
        <v>216.00752017677968</v>
      </c>
      <c r="P91" s="1303">
        <v>1.6891534493192037E-3</v>
      </c>
      <c r="Q91" s="1375">
        <v>7.4318973639816016E-3</v>
      </c>
      <c r="R91" s="1375">
        <v>2.192711025636699E-2</v>
      </c>
      <c r="S91" s="1375">
        <v>4.9632820340990265E-2</v>
      </c>
      <c r="T91" s="1375">
        <v>9.0215610920012762E-2</v>
      </c>
      <c r="U91" s="1375">
        <v>0.133262366769311</v>
      </c>
      <c r="V91" s="1375">
        <v>0.15771470860770442</v>
      </c>
      <c r="W91" s="1375">
        <v>0.14106431196254324</v>
      </c>
      <c r="X91" s="1375">
        <v>7.583969243899702E-2</v>
      </c>
      <c r="Y91" s="1302">
        <v>-1.9021883246965521E-2</v>
      </c>
      <c r="AO91" s="1292"/>
    </row>
    <row r="92" spans="1:41" ht="15" customHeight="1">
      <c r="A92" s="1308">
        <v>90</v>
      </c>
      <c r="B92" s="1307">
        <f>B91+0.1</f>
        <v>5.8999999999999968</v>
      </c>
      <c r="C92" s="1292">
        <f>(B92-B$103)/B$104*E$104</f>
        <v>3.1919191919191943</v>
      </c>
      <c r="D92" s="1306">
        <v>0.49000000000000005</v>
      </c>
      <c r="E92" s="1305">
        <v>0.64860178378273314</v>
      </c>
      <c r="F92" s="1304">
        <f>EXP(-(C92^2)/2)</f>
        <v>6.1323694892820848E-3</v>
      </c>
      <c r="G92" s="1289">
        <f>$F92*$C92</f>
        <v>1.9574027864779193E-2</v>
      </c>
      <c r="H92" s="1289">
        <f>$F92*$C92^2</f>
        <v>6.2478715204749791E-2</v>
      </c>
      <c r="I92" s="1289">
        <f>$F92*$C92^3</f>
        <v>0.19942701014849445</v>
      </c>
      <c r="J92" s="1289">
        <f>$F92*$C92^4</f>
        <v>0.6365549010800432</v>
      </c>
      <c r="K92" s="1289">
        <f>$F92*$C92^5</f>
        <v>2.0318318054676143</v>
      </c>
      <c r="L92" s="1289">
        <f>$F92*$C92^6</f>
        <v>6.4854429346239053</v>
      </c>
      <c r="M92" s="1289">
        <f>$F92*$C92^7</f>
        <v>20.701009771122784</v>
      </c>
      <c r="N92" s="1289">
        <f>$F92*$C92^8</f>
        <v>66.075950380553564</v>
      </c>
      <c r="O92" s="1289">
        <f>$F92*$C92^9</f>
        <v>210.90909414398934</v>
      </c>
      <c r="P92" s="1303">
        <v>1.3093876626490235E-3</v>
      </c>
      <c r="Q92" s="1375">
        <v>5.9106495421310939E-3</v>
      </c>
      <c r="R92" s="1375">
        <v>1.794049088233151E-2</v>
      </c>
      <c r="S92" s="1375">
        <v>4.1931538024924143E-2</v>
      </c>
      <c r="T92" s="1375">
        <v>7.9119837048998748E-2</v>
      </c>
      <c r="U92" s="1375">
        <v>0.12234934230386056</v>
      </c>
      <c r="V92" s="1375">
        <v>0.15392473436783444</v>
      </c>
      <c r="W92" s="1375">
        <v>0.15159973127332357</v>
      </c>
      <c r="X92" s="1375">
        <v>0.10262447893118987</v>
      </c>
      <c r="Y92" s="1302">
        <v>1.6512166713308796E-2</v>
      </c>
      <c r="AO92" s="1292"/>
    </row>
    <row r="93" spans="1:41" ht="15" customHeight="1">
      <c r="A93" s="1308">
        <v>91</v>
      </c>
      <c r="B93" s="1307">
        <f>B92+0.1</f>
        <v>5.9999999999999964</v>
      </c>
      <c r="C93" s="1292">
        <f>(B93-B$103)/B$104*E$104</f>
        <v>3.2727272727272747</v>
      </c>
      <c r="D93" s="1306">
        <v>0.45999999999999996</v>
      </c>
      <c r="E93" s="1305">
        <v>0.58150001868001888</v>
      </c>
      <c r="F93" s="1304">
        <f>EXP(-(C93^2)/2)</f>
        <v>4.7227127900756729E-3</v>
      </c>
      <c r="G93" s="1289">
        <f>$F93*$C93</f>
        <v>1.5456150949338575E-2</v>
      </c>
      <c r="H93" s="1289">
        <f>$F93*$C93^2</f>
        <v>5.0583766743289911E-2</v>
      </c>
      <c r="I93" s="1289">
        <f>$F93*$C93^3</f>
        <v>0.16554687297803983</v>
      </c>
      <c r="J93" s="1289">
        <f>$F93*$C93^4</f>
        <v>0.54178976610994878</v>
      </c>
      <c r="K93" s="1289">
        <f>$F93*$C93^5</f>
        <v>1.7731301436325606</v>
      </c>
      <c r="L93" s="1289">
        <f>$F93*$C93^6</f>
        <v>5.8029713791611108</v>
      </c>
      <c r="M93" s="1289">
        <f>$F93*$C93^7</f>
        <v>18.991542695436376</v>
      </c>
      <c r="N93" s="1289">
        <f>$F93*$C93^8</f>
        <v>62.15413973051907</v>
      </c>
      <c r="O93" s="1289">
        <f>$F93*$C93^9</f>
        <v>203.41354820897163</v>
      </c>
      <c r="P93" s="1303">
        <v>1.0083968150269218E-3</v>
      </c>
      <c r="Q93" s="1375">
        <v>4.6671994217501482E-3</v>
      </c>
      <c r="R93" s="1375">
        <v>1.4561468862606038E-2</v>
      </c>
      <c r="S93" s="1375">
        <v>3.5100993765057299E-2</v>
      </c>
      <c r="T93" s="1375">
        <v>6.8632936288400545E-2</v>
      </c>
      <c r="U93" s="1375">
        <v>0.11078312373203454</v>
      </c>
      <c r="V93" s="1375">
        <v>0.14731590429513686</v>
      </c>
      <c r="W93" s="1375">
        <v>0.15742273792348208</v>
      </c>
      <c r="X93" s="1375">
        <v>0.12502911109216563</v>
      </c>
      <c r="Y93" s="1302">
        <v>5.1620906811331579E-2</v>
      </c>
      <c r="AO93" s="1292"/>
    </row>
    <row r="94" spans="1:41" ht="15" customHeight="1">
      <c r="A94" s="1308">
        <v>92</v>
      </c>
      <c r="B94" s="1307">
        <f>B93+0.1</f>
        <v>6.0999999999999961</v>
      </c>
      <c r="C94" s="1292">
        <f>(B94-B$103)/B$104*E$104</f>
        <v>3.3535353535353556</v>
      </c>
      <c r="D94" s="1306">
        <v>0.22999999999999998</v>
      </c>
      <c r="E94" s="1305">
        <v>0.51570247205067909</v>
      </c>
      <c r="F94" s="1304">
        <f>EXP(-(C94^2)/2)</f>
        <v>3.6134232628502977E-3</v>
      </c>
      <c r="G94" s="1289">
        <f>$F94*$C94</f>
        <v>1.2117742659255552E-2</v>
      </c>
      <c r="H94" s="1289">
        <f>$F94*$C94^2</f>
        <v>4.0637278412857025E-2</v>
      </c>
      <c r="I94" s="1289">
        <f>$F94*$C94^3</f>
        <v>0.13627854982897517</v>
      </c>
      <c r="J94" s="1289">
        <f>$F94*$C94^4</f>
        <v>0.45701493477999783</v>
      </c>
      <c r="K94" s="1289">
        <f>$F94*$C94^5</f>
        <v>1.5326157408783774</v>
      </c>
      <c r="L94" s="1289">
        <f>$F94*$C94^6</f>
        <v>5.1396810704204201</v>
      </c>
      <c r="M94" s="1289">
        <f>$F94*$C94^7</f>
        <v>17.23610217555132</v>
      </c>
      <c r="N94" s="1289">
        <f>$F94*$C94^8</f>
        <v>57.801878002859013</v>
      </c>
      <c r="O94" s="1289">
        <f>$F94*$C94^9</f>
        <v>193.84064138332528</v>
      </c>
      <c r="P94" s="1303">
        <v>7.7154056822167634E-4</v>
      </c>
      <c r="Q94" s="1375">
        <v>3.6591206774294525E-3</v>
      </c>
      <c r="R94" s="1375">
        <v>1.1725463006067617E-2</v>
      </c>
      <c r="S94" s="1375">
        <v>2.9119261732883841E-2</v>
      </c>
      <c r="T94" s="1375">
        <v>5.890813521671754E-2</v>
      </c>
      <c r="U94" s="1375">
        <v>9.9002103159940388E-2</v>
      </c>
      <c r="V94" s="1375">
        <v>0.13850829981527638</v>
      </c>
      <c r="W94" s="1375">
        <v>0.15887943550138756</v>
      </c>
      <c r="X94" s="1375">
        <v>0.14247295552298567</v>
      </c>
      <c r="Y94" s="1302">
        <v>8.4465939928101585E-2</v>
      </c>
      <c r="AO94" s="1292"/>
    </row>
    <row r="95" spans="1:41" ht="15" customHeight="1">
      <c r="A95" s="1308">
        <v>93</v>
      </c>
      <c r="B95" s="1307">
        <f>B94+0.1</f>
        <v>6.1999999999999957</v>
      </c>
      <c r="C95" s="1292">
        <f>(B95-B$103)/B$104*E$104</f>
        <v>3.434343434343436</v>
      </c>
      <c r="D95" s="1306">
        <v>0.48</v>
      </c>
      <c r="E95" s="1305">
        <v>0.45185665632980332</v>
      </c>
      <c r="F95" s="1304">
        <f>EXP(-(C95^2)/2)</f>
        <v>2.7466936149496139E-3</v>
      </c>
      <c r="G95" s="1289">
        <f>$F95*$C95</f>
        <v>9.4330891826552438E-3</v>
      </c>
      <c r="H95" s="1289">
        <f>$F95*$C95^2</f>
        <v>3.2396467900028127E-2</v>
      </c>
      <c r="I95" s="1289">
        <f>$F95*$C95^3</f>
        <v>0.11126059682837947</v>
      </c>
      <c r="J95" s="1289">
        <f>$F95*$C95^4</f>
        <v>0.38210710021867722</v>
      </c>
      <c r="K95" s="1289">
        <f>$F95*$C95^5</f>
        <v>1.3122870108520233</v>
      </c>
      <c r="L95" s="1289">
        <f>$F95*$C95^6</f>
        <v>4.5068442796938202</v>
      </c>
      <c r="M95" s="1289">
        <f>$F95*$C95^7</f>
        <v>15.478051061574741</v>
      </c>
      <c r="N95" s="1289">
        <f>$F95*$C95^8</f>
        <v>53.15694303975166</v>
      </c>
      <c r="O95" s="1289">
        <f>$F95*$C95^9</f>
        <v>182.55919831833913</v>
      </c>
      <c r="P95" s="1303">
        <v>5.8647587018014369E-4</v>
      </c>
      <c r="Q95" s="1375">
        <v>2.8484522778610567E-3</v>
      </c>
      <c r="R95" s="1375">
        <v>9.3678894889982836E-3</v>
      </c>
      <c r="S95" s="1375">
        <v>2.394371809350155E-2</v>
      </c>
      <c r="T95" s="1375">
        <v>5.0043376358463246E-2</v>
      </c>
      <c r="U95" s="1375">
        <v>8.7374354108996757E-2</v>
      </c>
      <c r="V95" s="1375">
        <v>0.12811477303022051</v>
      </c>
      <c r="W95" s="1375">
        <v>0.15647655317373421</v>
      </c>
      <c r="X95" s="1375">
        <v>0.15472381150827896</v>
      </c>
      <c r="Y95" s="1302">
        <v>0.11355689475218367</v>
      </c>
      <c r="AO95" s="1292"/>
    </row>
    <row r="96" spans="1:41" ht="15" customHeight="1">
      <c r="A96" s="1308">
        <v>94</v>
      </c>
      <c r="B96" s="1307">
        <f>B95+0.1</f>
        <v>6.2999999999999954</v>
      </c>
      <c r="C96" s="1292">
        <f>(B96-B$103)/B$104*E$104</f>
        <v>3.5151515151515165</v>
      </c>
      <c r="D96" s="1306">
        <v>0.5</v>
      </c>
      <c r="E96" s="1305">
        <v>0.39073275466877522</v>
      </c>
      <c r="F96" s="1304">
        <f>EXP(-(C96^2)/2)</f>
        <v>2.0742718817600763E-3</v>
      </c>
      <c r="G96" s="1289">
        <f>$F96*$C96</f>
        <v>7.2913799480051195E-3</v>
      </c>
      <c r="H96" s="1289">
        <f>$F96*$C96^2</f>
        <v>2.5630305271775584E-2</v>
      </c>
      <c r="I96" s="1289">
        <f>$F96*$C96^3</f>
        <v>9.0094406409877842E-2</v>
      </c>
      <c r="J96" s="1289">
        <f>$F96*$C96^4</f>
        <v>0.3166954891983586</v>
      </c>
      <c r="K96" s="1289">
        <f>$F96*$C96^5</f>
        <v>1.1132326286972611</v>
      </c>
      <c r="L96" s="1289">
        <f>$F96*$C96^6</f>
        <v>3.9131813614812829</v>
      </c>
      <c r="M96" s="1289">
        <f>$F96*$C96^7</f>
        <v>13.755425391873606</v>
      </c>
      <c r="N96" s="1289">
        <f>$F96*$C96^8</f>
        <v>48.352404407798154</v>
      </c>
      <c r="O96" s="1289">
        <f>$F96*$C96^9</f>
        <v>169.96602761529053</v>
      </c>
      <c r="P96" s="1303">
        <v>4.4289992892706067E-4</v>
      </c>
      <c r="Q96" s="1375">
        <v>2.201733432122592E-3</v>
      </c>
      <c r="R96" s="1375">
        <v>7.4262706067673981E-3</v>
      </c>
      <c r="S96" s="1375">
        <v>1.9517064123850236E-2</v>
      </c>
      <c r="T96" s="1375">
        <v>4.2088551009251185E-2</v>
      </c>
      <c r="U96" s="1375">
        <v>7.6194194564151607E-2</v>
      </c>
      <c r="V96" s="1375">
        <v>0.11671085370832809</v>
      </c>
      <c r="W96" s="1375">
        <v>0.15082584807872429</v>
      </c>
      <c r="X96" s="1375">
        <v>0.16185935135833251</v>
      </c>
      <c r="Y96" s="1302">
        <v>0.13780797712855564</v>
      </c>
      <c r="AO96" s="1292"/>
    </row>
    <row r="97" spans="1:41" ht="15" customHeight="1">
      <c r="A97" s="1308">
        <v>95</v>
      </c>
      <c r="B97" s="1307">
        <f>B96+0.1</f>
        <v>6.399999999999995</v>
      </c>
      <c r="C97" s="1292">
        <f>(B97-B$103)/B$104*E$104</f>
        <v>3.5959595959595969</v>
      </c>
      <c r="D97" s="1306">
        <v>0.33999999999999997</v>
      </c>
      <c r="E97" s="1305">
        <v>0.33311112049972935</v>
      </c>
      <c r="F97" s="1304">
        <f>EXP(-(C97^2)/2)</f>
        <v>1.5562709937429217E-3</v>
      </c>
      <c r="G97" s="1289">
        <f>$F97*$C97</f>
        <v>5.5962876138634368E-3</v>
      </c>
      <c r="H97" s="1289">
        <f>$F97*$C97^2</f>
        <v>2.0124024146822062E-2</v>
      </c>
      <c r="I97" s="1289">
        <f>$F97*$C97^3</f>
        <v>7.2365177740087439E-2</v>
      </c>
      <c r="J97" s="1289">
        <f>$F97*$C97^4</f>
        <v>0.26022225530778925</v>
      </c>
      <c r="K97" s="1289">
        <f>$F97*$C97^5</f>
        <v>0.93574871605629284</v>
      </c>
      <c r="L97" s="1289">
        <f>$F97*$C97^6</f>
        <v>3.3649145749094984</v>
      </c>
      <c r="M97" s="1289">
        <f>$F97*$C97^7</f>
        <v>12.100096855230118</v>
      </c>
      <c r="N97" s="1289">
        <f>$F97*$C97^8</f>
        <v>43.51145939860529</v>
      </c>
      <c r="O97" s="1289">
        <f>$F97*$C97^9</f>
        <v>156.46544995862109</v>
      </c>
      <c r="P97" s="1303">
        <v>3.3229603051612407E-4</v>
      </c>
      <c r="Q97" s="1375">
        <v>1.6898767617490639E-3</v>
      </c>
      <c r="R97" s="1375">
        <v>5.8417767229480503E-3</v>
      </c>
      <c r="S97" s="1375">
        <v>1.5772652022626392E-2</v>
      </c>
      <c r="T97" s="1375">
        <v>3.5053514966058776E-2</v>
      </c>
      <c r="U97" s="1375">
        <v>6.5683376727159848E-2</v>
      </c>
      <c r="V97" s="1375">
        <v>0.10481261717159687</v>
      </c>
      <c r="W97" s="1375">
        <v>0.14259178298147687</v>
      </c>
      <c r="X97" s="1375">
        <v>0.16421317213239084</v>
      </c>
      <c r="Y97" s="1302">
        <v>0.15655437398119187</v>
      </c>
      <c r="AO97" s="1292"/>
    </row>
    <row r="98" spans="1:41" ht="15" customHeight="1">
      <c r="A98" s="1308">
        <v>96</v>
      </c>
      <c r="B98" s="1307">
        <f>B97+0.1</f>
        <v>6.4999999999999947</v>
      </c>
      <c r="C98" s="1292">
        <f>(B98-B$103)/B$104*E$104</f>
        <v>3.6767676767676778</v>
      </c>
      <c r="D98" s="1306">
        <v>0.18</v>
      </c>
      <c r="E98" s="1305">
        <v>0.27969224485835775</v>
      </c>
      <c r="F98" s="1304">
        <f>EXP(-(C98^2)/2)</f>
        <v>1.1600289996688878E-3</v>
      </c>
      <c r="G98" s="1289">
        <f>$F98*$C98</f>
        <v>4.2651571300957097E-3</v>
      </c>
      <c r="H98" s="1289">
        <f>$F98*$C98^2</f>
        <v>1.5681991872271098E-2</v>
      </c>
      <c r="I98" s="1289">
        <f>$F98*$C98^3</f>
        <v>5.7659040823299812E-2</v>
      </c>
      <c r="J98" s="1289">
        <f>$F98*$C98^4</f>
        <v>0.21199889757253673</v>
      </c>
      <c r="K98" s="1289">
        <f>$F98*$C98^5</f>
        <v>0.77947069410508474</v>
      </c>
      <c r="L98" s="1289">
        <f>$F98*$C98^6</f>
        <v>2.8659326530732416</v>
      </c>
      <c r="M98" s="1289">
        <f>$F98*$C98^7</f>
        <v>10.537368542612729</v>
      </c>
      <c r="N98" s="1289">
        <f>$F98*$C98^8</f>
        <v>38.743456055667018</v>
      </c>
      <c r="O98" s="1289">
        <f>$F98*$C98^9</f>
        <v>142.45068691174544</v>
      </c>
      <c r="P98" s="1303">
        <v>2.4769017312758611E-4</v>
      </c>
      <c r="Q98" s="1375">
        <v>1.2879234265054885E-3</v>
      </c>
      <c r="R98" s="1375">
        <v>4.5602650476628597E-3</v>
      </c>
      <c r="S98" s="1375">
        <v>1.263900695069232E-2</v>
      </c>
      <c r="T98" s="1375">
        <v>2.8916276242451727E-2</v>
      </c>
      <c r="U98" s="1375">
        <v>5.5995857077314228E-2</v>
      </c>
      <c r="V98" s="1375">
        <v>9.2862359326074714E-2</v>
      </c>
      <c r="W98" s="1375">
        <v>0.13244558606629162</v>
      </c>
      <c r="X98" s="1375">
        <v>0.16231243901544667</v>
      </c>
      <c r="Y98" s="1302">
        <v>0.16953396531451803</v>
      </c>
      <c r="AO98" s="1292"/>
    </row>
    <row r="99" spans="1:41" ht="15" customHeight="1">
      <c r="A99" s="1308">
        <v>97</v>
      </c>
      <c r="B99" s="1307">
        <f>B98+0.1</f>
        <v>6.5999999999999943</v>
      </c>
      <c r="C99" s="1292">
        <f>(B99-B$103)/B$104*E$104</f>
        <v>3.7575757575757582</v>
      </c>
      <c r="D99" s="1306">
        <v>0.57000000000000006</v>
      </c>
      <c r="E99" s="1305">
        <v>0.23103259281027302</v>
      </c>
      <c r="F99" s="1304">
        <f>EXP(-(C99^2)/2)</f>
        <v>8.5904625755320308E-4</v>
      </c>
      <c r="G99" s="1289">
        <f>$F99*$C99</f>
        <v>3.2279313920180971E-3</v>
      </c>
      <c r="H99" s="1289">
        <f>$F99*$C99^2</f>
        <v>1.2129196745764972E-2</v>
      </c>
      <c r="I99" s="1289">
        <f>$F99*$C99^3</f>
        <v>4.5576375650753238E-2</v>
      </c>
      <c r="J99" s="1289">
        <f>$F99*$C99^4</f>
        <v>0.17125668426343643</v>
      </c>
      <c r="K99" s="1289">
        <f>$F99*$C99^5</f>
        <v>0.64350996511109471</v>
      </c>
      <c r="L99" s="1289">
        <f>$F99*$C99^6</f>
        <v>2.4180374446598711</v>
      </c>
      <c r="M99" s="1289">
        <f>$F99*$C99^7</f>
        <v>9.0859588829643663</v>
      </c>
      <c r="N99" s="1289">
        <f>$F99*$C99^8</f>
        <v>34.141178832957017</v>
      </c>
      <c r="O99" s="1289">
        <f>$F99*$C99^9</f>
        <v>128.28806591777791</v>
      </c>
      <c r="P99" s="1303">
        <v>1.8342413536103988E-4</v>
      </c>
      <c r="Q99" s="1375">
        <v>9.7471871073584058E-4</v>
      </c>
      <c r="R99" s="1375">
        <v>3.5328891916510063E-3</v>
      </c>
      <c r="S99" s="1375">
        <v>1.0043508338880052E-2</v>
      </c>
      <c r="T99" s="1375">
        <v>2.3630870932614897E-2</v>
      </c>
      <c r="U99" s="1375">
        <v>4.7225090417621275E-2</v>
      </c>
      <c r="V99" s="1375">
        <v>8.1221395017128828E-2</v>
      </c>
      <c r="W99" s="1375">
        <v>0.12102767774029222</v>
      </c>
      <c r="X99" s="1375">
        <v>0.15681346865288021</v>
      </c>
      <c r="Y99" s="1302">
        <v>0.17684195584360163</v>
      </c>
      <c r="AO99" s="1292"/>
    </row>
    <row r="100" spans="1:41" ht="15" customHeight="1">
      <c r="A100" s="1308">
        <v>98</v>
      </c>
      <c r="B100" s="1307">
        <f>B99+0.1</f>
        <v>6.699999999999994</v>
      </c>
      <c r="C100" s="1292">
        <f>(B100-B$103)/B$104*E$104</f>
        <v>3.8383838383838387</v>
      </c>
      <c r="D100" s="1306">
        <v>0</v>
      </c>
      <c r="E100" s="1305">
        <v>0.18750657352573499</v>
      </c>
      <c r="F100" s="1304">
        <f>EXP(-(C100^2)/2)</f>
        <v>6.3201638066275165E-4</v>
      </c>
      <c r="G100" s="1289">
        <f>$F100*$C100</f>
        <v>2.4259214611297539E-3</v>
      </c>
      <c r="H100" s="1289">
        <f>$F100*$C100^2</f>
        <v>9.3116177295889564E-3</v>
      </c>
      <c r="I100" s="1289">
        <f>$F100*$C100^3</f>
        <v>3.5741563002462659E-2</v>
      </c>
      <c r="J100" s="1289">
        <f>$F100*$C100^4</f>
        <v>0.13718983778723043</v>
      </c>
      <c r="K100" s="1289">
        <f>$F100*$C100^5</f>
        <v>0.52658725615300572</v>
      </c>
      <c r="L100" s="1289">
        <f>$F100*$C100^6</f>
        <v>2.0212440135165881</v>
      </c>
      <c r="M100" s="1289">
        <f>$F100*$C100^7</f>
        <v>7.7583103549121564</v>
      </c>
      <c r="N100" s="1289">
        <f>$F100*$C100^8</f>
        <v>29.779373079460807</v>
      </c>
      <c r="O100" s="1289">
        <f>$F100*$C100^9</f>
        <v>114.30466434540513</v>
      </c>
      <c r="P100" s="1303">
        <v>1.3494856317434599E-4</v>
      </c>
      <c r="Q100" s="1375">
        <v>7.3254067443500194E-4</v>
      </c>
      <c r="R100" s="1375">
        <v>2.7163571169244029E-3</v>
      </c>
      <c r="S100" s="1375">
        <v>7.915248868449765E-3</v>
      </c>
      <c r="T100" s="1375">
        <v>1.9134573613138247E-2</v>
      </c>
      <c r="U100" s="1375">
        <v>3.9412860454946755E-2</v>
      </c>
      <c r="V100" s="1375">
        <v>7.0168934074284317E-2</v>
      </c>
      <c r="W100" s="1375">
        <v>0.10891939459683893</v>
      </c>
      <c r="X100" s="1375">
        <v>0.14844052156085363</v>
      </c>
      <c r="Y100" s="1302">
        <v>0.17886704183650259</v>
      </c>
      <c r="AO100" s="1292"/>
    </row>
    <row r="101" spans="1:41" ht="15" customHeight="1">
      <c r="A101" s="1308">
        <v>99</v>
      </c>
      <c r="B101" s="1307">
        <f>B100+0.1</f>
        <v>6.7999999999999936</v>
      </c>
      <c r="C101" s="1292">
        <f>(B101-B$103)/B$104*E$104</f>
        <v>3.9191919191919196</v>
      </c>
      <c r="D101" s="1306">
        <v>0.45999999999999996</v>
      </c>
      <c r="E101" s="1305">
        <v>0.14929241708650873</v>
      </c>
      <c r="F101" s="1304">
        <f>EXP(-(C101^2)/2)</f>
        <v>4.6195981567234533E-4</v>
      </c>
      <c r="G101" s="1289">
        <f>$F101*$C101</f>
        <v>1.8105091765744444E-3</v>
      </c>
      <c r="H101" s="1289">
        <f>$F101*$C101^2</f>
        <v>7.0957329344533788E-3</v>
      </c>
      <c r="I101" s="1289">
        <f>$F101*$C101^3</f>
        <v>2.780953917745365E-2</v>
      </c>
      <c r="J101" s="1289">
        <f>$F101*$C101^4</f>
        <v>0.10899092122072744</v>
      </c>
      <c r="K101" s="1289">
        <f>$F101*$C101^5</f>
        <v>0.4271563377135581</v>
      </c>
      <c r="L101" s="1289">
        <f>$F101*$C101^6</f>
        <v>1.6741076669985915</v>
      </c>
      <c r="M101" s="1289">
        <f>$F101*$C101^7</f>
        <v>6.5611492403581169</v>
      </c>
      <c r="N101" s="1289">
        <f>$F101*$C101^8</f>
        <v>25.714403083423733</v>
      </c>
      <c r="O101" s="1289">
        <f>$F101*$C101^9</f>
        <v>100.77968077139806</v>
      </c>
      <c r="P101" s="1303">
        <v>9.8637970908145627E-5</v>
      </c>
      <c r="Q101" s="1375">
        <v>5.4670838876250583E-4</v>
      </c>
      <c r="R101" s="1375">
        <v>2.072913530575207E-3</v>
      </c>
      <c r="S101" s="1375">
        <v>6.1871304318468646E-3</v>
      </c>
      <c r="T101" s="1375">
        <v>1.5354211824904759E-2</v>
      </c>
      <c r="U101" s="1375">
        <v>3.2558783695957057E-2</v>
      </c>
      <c r="V101" s="1375">
        <v>5.990578886710466E-2</v>
      </c>
      <c r="W101" s="1375">
        <v>9.6624033868738468E-2</v>
      </c>
      <c r="X101" s="1375">
        <v>0.13793174362029287</v>
      </c>
      <c r="Y101" s="1302">
        <v>0.17621770821851757</v>
      </c>
      <c r="AO101" s="1292"/>
    </row>
    <row r="102" spans="1:41" ht="15" customHeight="1">
      <c r="A102" s="1301">
        <v>100</v>
      </c>
      <c r="B102" s="1300">
        <f>B101+0.1</f>
        <v>6.8999999999999932</v>
      </c>
      <c r="C102" s="1292">
        <f>(B102-B$103)/B$104*E$104</f>
        <v>4</v>
      </c>
      <c r="D102" s="1299">
        <v>0.48</v>
      </c>
      <c r="E102" s="1298">
        <v>0.11637800619761579</v>
      </c>
      <c r="F102" s="1297">
        <f>EXP(-(C102^2)/2)</f>
        <v>3.3546262790251185E-4</v>
      </c>
      <c r="G102" s="1295">
        <f>$F102*$C102</f>
        <v>1.3418505116100474E-3</v>
      </c>
      <c r="H102" s="1295">
        <f>$F102*$C102^2</f>
        <v>5.3674020464401897E-3</v>
      </c>
      <c r="I102" s="1295">
        <f>$F102*$C102^3</f>
        <v>2.1469608185760759E-2</v>
      </c>
      <c r="J102" s="1295">
        <f>$F102*$C102^4</f>
        <v>8.5878432743043034E-2</v>
      </c>
      <c r="K102" s="1295">
        <f>$F102*$C102^5</f>
        <v>0.34351373097217214</v>
      </c>
      <c r="L102" s="1295">
        <f>$F102*$C102^6</f>
        <v>1.3740549238886886</v>
      </c>
      <c r="M102" s="1295">
        <f>$F102*$C102^7</f>
        <v>5.4962196955547542</v>
      </c>
      <c r="N102" s="1295">
        <f>$F102*$C102^8</f>
        <v>21.984878782219017</v>
      </c>
      <c r="O102" s="1295">
        <f>$F102*$C102^9</f>
        <v>87.939515128876067</v>
      </c>
      <c r="P102" s="1296">
        <v>7.1628206197260654E-5</v>
      </c>
      <c r="Q102" s="1295">
        <v>4.0519039652176224E-4</v>
      </c>
      <c r="R102" s="1295">
        <v>1.5701173470709707E-3</v>
      </c>
      <c r="S102" s="1295">
        <v>4.7972836169881102E-3</v>
      </c>
      <c r="T102" s="1295">
        <v>1.2211463038325879E-2</v>
      </c>
      <c r="U102" s="1295">
        <v>2.6629780417718373E-2</v>
      </c>
      <c r="V102" s="1295">
        <v>5.0561608023620287E-2</v>
      </c>
      <c r="W102" s="1295">
        <v>8.4556531339681523E-2</v>
      </c>
      <c r="X102" s="1295">
        <v>0.12599479805528502</v>
      </c>
      <c r="Y102" s="1294">
        <v>0.16964641833932093</v>
      </c>
      <c r="AO102" s="1292"/>
    </row>
    <row r="103" spans="1:41" ht="15" customHeight="1">
      <c r="B103" s="1289">
        <f>(B102+B3)/2</f>
        <v>1.9499999999999966</v>
      </c>
      <c r="C103" s="1293">
        <f>(C102+C3)/2</f>
        <v>0</v>
      </c>
      <c r="E103" s="1353" t="s">
        <v>496</v>
      </c>
      <c r="F103" s="1327"/>
      <c r="AO103" s="1292"/>
    </row>
    <row r="104" spans="1:41" ht="15" customHeight="1">
      <c r="B104" s="1292">
        <f>(B102-B3)/2</f>
        <v>4.9499999999999966</v>
      </c>
      <c r="C104" s="1292">
        <f>(C102-C3)/2</f>
        <v>4</v>
      </c>
      <c r="E104" s="1352">
        <v>4</v>
      </c>
    </row>
  </sheetData>
  <mergeCells count="8">
    <mergeCell ref="A1:D1"/>
    <mergeCell ref="F1:O1"/>
    <mergeCell ref="P1:Y1"/>
    <mergeCell ref="Z39:AH39"/>
    <mergeCell ref="Z36:AB36"/>
    <mergeCell ref="Z1:AJ1"/>
    <mergeCell ref="Z13:AJ13"/>
    <mergeCell ref="Z24:AH24"/>
  </mergeCells>
  <conditionalFormatting sqref="Z1 AA2:AJ12 Z13 AA14:AJ23">
    <cfRule type="cellIs" dxfId="53" priority="2" operator="between">
      <formula>-0.0001</formula>
      <formula>0.0001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C40A-9112-4147-B22F-C6D27F84AD36}">
  <dimension ref="A1:I16"/>
  <sheetViews>
    <sheetView zoomScaleNormal="100" workbookViewId="0">
      <selection activeCell="I3" sqref="I3"/>
    </sheetView>
  </sheetViews>
  <sheetFormatPr defaultColWidth="6.875" defaultRowHeight="15.75"/>
  <cols>
    <col min="1" max="1" width="4.875" style="36" customWidth="1"/>
    <col min="2" max="6" width="6.875" style="36"/>
    <col min="7" max="9" width="6.875" style="36" customWidth="1"/>
    <col min="10" max="16384" width="6.875" style="36"/>
  </cols>
  <sheetData>
    <row r="1" spans="1:9" s="36" customFormat="1">
      <c r="E1" s="1272" t="s">
        <v>14</v>
      </c>
      <c r="F1" s="809"/>
      <c r="G1" s="809"/>
      <c r="H1" s="808"/>
    </row>
    <row r="2" spans="1:9" s="36" customFormat="1" ht="18.75">
      <c r="A2" s="1273" t="s">
        <v>10</v>
      </c>
      <c r="B2" s="1271" t="s">
        <v>315</v>
      </c>
      <c r="C2" s="1174" t="s">
        <v>219</v>
      </c>
      <c r="D2" s="1270"/>
      <c r="E2" s="1271" t="s">
        <v>482</v>
      </c>
      <c r="F2" s="1270" t="s">
        <v>481</v>
      </c>
      <c r="G2" s="1270" t="s">
        <v>480</v>
      </c>
      <c r="H2" s="1274" t="s">
        <v>479</v>
      </c>
      <c r="I2" s="1273" t="s">
        <v>39</v>
      </c>
    </row>
    <row r="3" spans="1:9" s="36" customFormat="1">
      <c r="A3" s="39">
        <v>1</v>
      </c>
      <c r="B3" s="523">
        <v>0.16787653562006644</v>
      </c>
      <c r="C3" s="124">
        <v>1.0050987220414138</v>
      </c>
      <c r="D3" s="522">
        <f t="array" ref="D3:D11">MMULT(E3:H11,I3:I6)</f>
        <v>1.2024856923409526</v>
      </c>
      <c r="E3" s="87">
        <v>1</v>
      </c>
      <c r="F3" s="522">
        <f>B3</f>
        <v>0.16787653562006644</v>
      </c>
      <c r="G3" s="522">
        <f>F3^2</f>
        <v>2.8182531211795436E-2</v>
      </c>
      <c r="H3" s="517">
        <f>F3^3</f>
        <v>4.731185704840611E-3</v>
      </c>
      <c r="I3" s="37">
        <f t="array" ref="I3:I6">MMULT([1]!PseudoInv(E3:H11),C3:C11)</f>
        <v>1.5735431128133881</v>
      </c>
    </row>
    <row r="4" spans="1:9" s="36" customFormat="1">
      <c r="A4" s="448">
        <v>2</v>
      </c>
      <c r="B4" s="514">
        <v>0.2375046813667212</v>
      </c>
      <c r="C4" s="37">
        <v>1.2883431116447115</v>
      </c>
      <c r="D4" s="36">
        <v>1.1686574967785945</v>
      </c>
      <c r="E4" s="89">
        <v>1</v>
      </c>
      <c r="F4" s="36">
        <f>B4</f>
        <v>0.2375046813667212</v>
      </c>
      <c r="G4" s="36">
        <f>F4^2</f>
        <v>5.6408473671107767E-2</v>
      </c>
      <c r="H4" s="35">
        <f>F4^3</f>
        <v>1.3397276565639533E-2</v>
      </c>
      <c r="I4" s="37">
        <v>-3.5845908140047915</v>
      </c>
    </row>
    <row r="5" spans="1:9" s="36" customFormat="1">
      <c r="A5" s="448">
        <v>3</v>
      </c>
      <c r="B5" s="514">
        <v>0.51221045556177658</v>
      </c>
      <c r="C5" s="37">
        <v>1.8407141091919279</v>
      </c>
      <c r="D5" s="36">
        <v>1.5331740830868179</v>
      </c>
      <c r="E5" s="89">
        <v>1</v>
      </c>
      <c r="F5" s="36">
        <f>B5</f>
        <v>0.51221045556177658</v>
      </c>
      <c r="G5" s="36">
        <f>F5^2</f>
        <v>0.26235955078680268</v>
      </c>
      <c r="H5" s="35">
        <f>F5^3</f>
        <v>0.13438330502949125</v>
      </c>
      <c r="I5" s="37">
        <v>8.8405581185480084</v>
      </c>
    </row>
    <row r="6" spans="1:9" s="36" customFormat="1">
      <c r="A6" s="448">
        <v>4</v>
      </c>
      <c r="B6" s="514">
        <v>0.61183557276815637</v>
      </c>
      <c r="C6" s="37">
        <v>1.8493019874703363</v>
      </c>
      <c r="D6" s="36">
        <v>1.7971783748605965</v>
      </c>
      <c r="E6" s="89">
        <v>1</v>
      </c>
      <c r="F6" s="36">
        <f>B6</f>
        <v>0.61183557276815637</v>
      </c>
      <c r="G6" s="36">
        <f>F6^2</f>
        <v>0.37434276810453798</v>
      </c>
      <c r="H6" s="35">
        <f>F6^3</f>
        <v>0.22903622193485712</v>
      </c>
      <c r="I6" s="66">
        <v>-3.897128385513084</v>
      </c>
    </row>
    <row r="7" spans="1:9" s="36" customFormat="1">
      <c r="A7" s="448">
        <v>5</v>
      </c>
      <c r="B7" s="514">
        <v>0.81883145742463803</v>
      </c>
      <c r="C7" s="37">
        <v>2.0629778224645832</v>
      </c>
      <c r="D7" s="36">
        <v>2.42624989118015</v>
      </c>
      <c r="E7" s="89">
        <v>1</v>
      </c>
      <c r="F7" s="36">
        <f>B7</f>
        <v>0.81883145742463803</v>
      </c>
      <c r="G7" s="36">
        <f>F7^2</f>
        <v>0.6704849556681568</v>
      </c>
      <c r="H7" s="35">
        <f>F7^3</f>
        <v>0.54901417343105063</v>
      </c>
    </row>
    <row r="8" spans="1:9" s="36" customFormat="1">
      <c r="A8" s="448">
        <v>6</v>
      </c>
      <c r="B8" s="514">
        <v>1.2603404804249532</v>
      </c>
      <c r="C8" s="37">
        <v>3.2989244310592651</v>
      </c>
      <c r="D8" s="36">
        <v>3.2965510521125569</v>
      </c>
      <c r="E8" s="89">
        <v>1</v>
      </c>
      <c r="F8" s="36">
        <f>B8</f>
        <v>1.2603404804249532</v>
      </c>
      <c r="G8" s="36">
        <f>F8^2</f>
        <v>1.5884581265978017</v>
      </c>
      <c r="H8" s="35">
        <f>F8^3</f>
        <v>2.0019980784111944</v>
      </c>
    </row>
    <row r="9" spans="1:9" s="36" customFormat="1">
      <c r="A9" s="448">
        <v>7</v>
      </c>
      <c r="B9" s="514">
        <v>1.7571460305535092</v>
      </c>
      <c r="C9" s="37">
        <v>1.6808719838932151</v>
      </c>
      <c r="D9" s="36">
        <v>1.4275850866172881</v>
      </c>
      <c r="E9" s="89">
        <v>1</v>
      </c>
      <c r="F9" s="36">
        <f>B9</f>
        <v>1.7571460305535092</v>
      </c>
      <c r="G9" s="36">
        <f>F9^2</f>
        <v>3.0875621726899536</v>
      </c>
      <c r="H9" s="35">
        <f>F9^3</f>
        <v>5.4252976158293205</v>
      </c>
    </row>
    <row r="10" spans="1:9" s="36" customFormat="1">
      <c r="A10" s="448">
        <v>8</v>
      </c>
      <c r="B10" s="514">
        <v>1.7664273512001727</v>
      </c>
      <c r="C10" s="37">
        <v>1.4146678785234994</v>
      </c>
      <c r="D10" s="36">
        <v>1.3466230095627161</v>
      </c>
      <c r="E10" s="89">
        <v>1</v>
      </c>
      <c r="F10" s="36">
        <f>B10</f>
        <v>1.7664273512001727</v>
      </c>
      <c r="G10" s="36">
        <f>F10^2</f>
        <v>3.120265587068058</v>
      </c>
      <c r="H10" s="35">
        <f>F10^3</f>
        <v>5.5117224760056818</v>
      </c>
    </row>
    <row r="11" spans="1:9" s="36" customFormat="1">
      <c r="A11" s="95">
        <v>9</v>
      </c>
      <c r="B11" s="512">
        <v>1.8791473676106634</v>
      </c>
      <c r="C11" s="66">
        <v>-4.7016861114032769E-2</v>
      </c>
      <c r="D11" s="65">
        <v>0.19537849864497758</v>
      </c>
      <c r="E11" s="75">
        <v>1</v>
      </c>
      <c r="F11" s="65">
        <f>B11</f>
        <v>1.8791473676106634</v>
      </c>
      <c r="G11" s="65">
        <f>F11^2</f>
        <v>3.5311948291980855</v>
      </c>
      <c r="H11" s="64">
        <f>F11^3</f>
        <v>6.6356354678079681</v>
      </c>
    </row>
    <row r="12" spans="1:9" s="36" customFormat="1">
      <c r="A12" s="1272" t="s">
        <v>27</v>
      </c>
      <c r="B12" s="809"/>
      <c r="C12" s="809"/>
      <c r="D12" s="809"/>
      <c r="E12" s="809"/>
      <c r="F12" s="808"/>
    </row>
    <row r="13" spans="1:9" s="36" customFormat="1">
      <c r="A13" s="1271" t="s">
        <v>47</v>
      </c>
      <c r="B13" s="1270" t="s">
        <v>30</v>
      </c>
      <c r="C13" s="1270" t="s">
        <v>31</v>
      </c>
      <c r="D13" s="1270" t="s">
        <v>32</v>
      </c>
      <c r="E13" s="1269" t="s">
        <v>3</v>
      </c>
      <c r="F13" s="1268" t="s">
        <v>33</v>
      </c>
    </row>
    <row r="14" spans="1:9" s="36" customFormat="1">
      <c r="A14" s="1267" t="s">
        <v>5</v>
      </c>
      <c r="B14" s="36">
        <f>SUMSQ(D3:D11)-COUNT(C3:C11)*AVERAGE(C3:C11)^2</f>
        <v>6.0152775561328546</v>
      </c>
      <c r="C14" s="94">
        <f>COUNT(I3:I6)-1</f>
        <v>3</v>
      </c>
      <c r="D14" s="36">
        <f>B14/C14</f>
        <v>2.0050925187109514</v>
      </c>
      <c r="E14" s="36">
        <f>D14/D15</f>
        <v>24.446617927498568</v>
      </c>
      <c r="F14" s="776">
        <f>FDIST(E14,C14,C15)</f>
        <v>2.0481181410651724E-3</v>
      </c>
    </row>
    <row r="15" spans="1:9" s="36" customFormat="1">
      <c r="A15" s="1266" t="s">
        <v>6</v>
      </c>
      <c r="B15" s="65">
        <f>SUMSQ(C3:C11)-SUMSQ(D3:D11)</f>
        <v>0.41009609686244985</v>
      </c>
      <c r="C15" s="96">
        <f>COUNT(C3:C11)-COUNT(I3:I6)</f>
        <v>5</v>
      </c>
      <c r="D15" s="36">
        <f>B15/C15</f>
        <v>8.2019219372489974E-2</v>
      </c>
      <c r="F15" s="37"/>
    </row>
    <row r="16" spans="1:9" s="36" customFormat="1">
      <c r="A16" s="1266" t="s">
        <v>7</v>
      </c>
      <c r="B16" s="65">
        <f>SUMSQ(C3:C11)-COUNT(C3:C11)*AVERAGE(C3:C11)^2</f>
        <v>6.4253736529953045</v>
      </c>
      <c r="C16" s="96">
        <f>COUNT(C3:C11)-1</f>
        <v>8</v>
      </c>
      <c r="D16" s="65"/>
      <c r="E16" s="65"/>
      <c r="F16" s="66"/>
    </row>
  </sheetData>
  <mergeCells count="2">
    <mergeCell ref="A12:F12"/>
    <mergeCell ref="E1:H1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C913-08C4-4CD9-AF11-60592A8BC74C}">
  <dimension ref="A1:M23"/>
  <sheetViews>
    <sheetView zoomScaleNormal="100" workbookViewId="0">
      <selection activeCell="C7" sqref="C7"/>
    </sheetView>
  </sheetViews>
  <sheetFormatPr defaultColWidth="6.875" defaultRowHeight="15.75"/>
  <cols>
    <col min="1" max="1" width="6.875" style="36" customWidth="1"/>
    <col min="2" max="6" width="6.875" style="36"/>
    <col min="7" max="9" width="6.875" style="36" customWidth="1"/>
    <col min="10" max="10" width="6.875" style="36"/>
    <col min="12" max="16384" width="6.875" style="36"/>
  </cols>
  <sheetData>
    <row r="1" spans="1:13" ht="18.75">
      <c r="A1" s="1272" t="s">
        <v>27</v>
      </c>
      <c r="B1" s="1288"/>
      <c r="C1" s="1288"/>
      <c r="D1" s="1288"/>
      <c r="E1" s="1288"/>
      <c r="F1" s="1287"/>
      <c r="G1" s="1286" t="s">
        <v>35</v>
      </c>
      <c r="H1" s="129">
        <v>0</v>
      </c>
      <c r="I1" s="472">
        <v>1</v>
      </c>
      <c r="J1" s="472">
        <v>2</v>
      </c>
      <c r="K1" s="795">
        <v>3</v>
      </c>
    </row>
    <row r="2" spans="1:13">
      <c r="A2" s="1271" t="s">
        <v>47</v>
      </c>
      <c r="B2" s="1270" t="s">
        <v>30</v>
      </c>
      <c r="C2" s="1270" t="s">
        <v>31</v>
      </c>
      <c r="D2" s="1270" t="s">
        <v>32</v>
      </c>
      <c r="E2" s="1269" t="s">
        <v>3</v>
      </c>
      <c r="F2" s="1268" t="s">
        <v>33</v>
      </c>
      <c r="G2" s="518">
        <v>0</v>
      </c>
      <c r="H2" s="876">
        <f t="array" ref="H2:K5">MMULT(TRANSPOSE('10.7-1'!X),'10.7-1'!X)</f>
        <v>9</v>
      </c>
      <c r="I2" s="875">
        <v>9.0113199325306574</v>
      </c>
      <c r="J2" s="875">
        <v>12.719258994996299</v>
      </c>
      <c r="K2" s="874">
        <v>20.505215800720045</v>
      </c>
      <c r="M2"/>
    </row>
    <row r="3" spans="1:13">
      <c r="A3" s="1267" t="s">
        <v>5</v>
      </c>
      <c r="B3" s="36">
        <f>'10.7-1'!B14</f>
        <v>6.0152775561328546</v>
      </c>
      <c r="C3" s="94">
        <f>'10.7-1'!C14</f>
        <v>3</v>
      </c>
      <c r="D3" s="36">
        <f>'10.7-1'!D14</f>
        <v>2.0050925187109514</v>
      </c>
      <c r="E3" s="36">
        <f>'10.7-1'!E14</f>
        <v>24.446617927498568</v>
      </c>
      <c r="F3" s="776">
        <f>'10.7-1'!F14</f>
        <v>2.0481181410651724E-3</v>
      </c>
      <c r="G3" s="515">
        <v>1</v>
      </c>
      <c r="H3" s="868">
        <v>9.0113199325306574</v>
      </c>
      <c r="I3" s="867">
        <v>12.719258994996299</v>
      </c>
      <c r="J3" s="867">
        <v>20.505215800720045</v>
      </c>
      <c r="K3" s="866">
        <v>34.924124934442929</v>
      </c>
      <c r="M3"/>
    </row>
    <row r="4" spans="1:13">
      <c r="A4" s="1266" t="s">
        <v>6</v>
      </c>
      <c r="B4" s="65">
        <f>'10.7-1'!B15</f>
        <v>0.41009609686244985</v>
      </c>
      <c r="C4" s="96">
        <f>'10.7-1'!C15</f>
        <v>5</v>
      </c>
      <c r="D4" s="65">
        <f>'10.7-1'!D15</f>
        <v>8.2019219372489974E-2</v>
      </c>
      <c r="F4" s="37"/>
      <c r="G4" s="515">
        <v>2</v>
      </c>
      <c r="H4" s="868">
        <v>12.719258994996299</v>
      </c>
      <c r="I4" s="867">
        <v>20.505215800720045</v>
      </c>
      <c r="J4" s="867">
        <v>34.924124934442929</v>
      </c>
      <c r="K4" s="866">
        <v>61.050783028323444</v>
      </c>
      <c r="M4"/>
    </row>
    <row r="5" spans="1:13" ht="17.25">
      <c r="A5" s="1266" t="s">
        <v>7</v>
      </c>
      <c r="B5" s="65">
        <f>'10.7-1'!B16</f>
        <v>6.4253736529953045</v>
      </c>
      <c r="C5" s="96">
        <f>'10.7-1'!C16</f>
        <v>8</v>
      </c>
      <c r="D5" s="65"/>
      <c r="E5" s="1285" t="s">
        <v>487</v>
      </c>
      <c r="F5" s="66">
        <f>SQRT(D3)</f>
        <v>1.4160128949663386</v>
      </c>
      <c r="G5" s="513">
        <v>3</v>
      </c>
      <c r="H5" s="1276">
        <v>20.505215800720045</v>
      </c>
      <c r="I5" s="1275">
        <v>34.924124934442929</v>
      </c>
      <c r="J5" s="1275">
        <v>61.050783028323444</v>
      </c>
      <c r="K5" s="988">
        <v>108.22472813781727</v>
      </c>
      <c r="M5"/>
    </row>
    <row r="6" spans="1:13" ht="20.25">
      <c r="A6" s="1284" t="s">
        <v>47</v>
      </c>
      <c r="B6" s="1273" t="s">
        <v>39</v>
      </c>
      <c r="C6" s="1283" t="s">
        <v>486</v>
      </c>
      <c r="D6" s="1269" t="s">
        <v>43</v>
      </c>
      <c r="E6" s="1268" t="s">
        <v>33</v>
      </c>
      <c r="G6" s="1282" t="s">
        <v>40</v>
      </c>
      <c r="H6" s="1281" t="s">
        <v>482</v>
      </c>
      <c r="I6" s="1280" t="s">
        <v>481</v>
      </c>
      <c r="J6" s="1280" t="s">
        <v>480</v>
      </c>
      <c r="K6" s="1274" t="s">
        <v>479</v>
      </c>
      <c r="M6"/>
    </row>
    <row r="7" spans="1:13" ht="19.5">
      <c r="A7" s="518" t="s">
        <v>376</v>
      </c>
      <c r="B7" s="37">
        <f>'10.7-1'!I3</f>
        <v>1.5735431128133881</v>
      </c>
      <c r="C7" s="523">
        <f t="array" ref="C7:C10">SQRT([1]!DIAG(H7:K10)*D4)</f>
        <v>0.48343615338863094</v>
      </c>
      <c r="D7" s="522">
        <f>B7/C7</f>
        <v>3.2549140187048193</v>
      </c>
      <c r="E7" s="767">
        <f>TDIST(ABS(D7),C$4,2)</f>
        <v>2.2572536577421216E-2</v>
      </c>
      <c r="G7" s="1279" t="s">
        <v>482</v>
      </c>
      <c r="H7" s="876">
        <f t="array" ref="H7:K10">MINVERSE(H2:K5)</f>
        <v>2.8494603605259945</v>
      </c>
      <c r="I7" s="875">
        <v>-11.950642149516002</v>
      </c>
      <c r="J7" s="875">
        <v>13.053878286620058</v>
      </c>
      <c r="K7" s="874">
        <v>-4.047250370806859</v>
      </c>
      <c r="M7"/>
    </row>
    <row r="8" spans="1:13" ht="19.5">
      <c r="A8" s="515" t="s">
        <v>485</v>
      </c>
      <c r="B8" s="37">
        <f>'10.7-1'!I4</f>
        <v>-3.5845908140047915</v>
      </c>
      <c r="C8" s="514">
        <v>2.1961467585145766</v>
      </c>
      <c r="D8" s="36">
        <f>B8/C8</f>
        <v>-1.6322182477592375</v>
      </c>
      <c r="E8" s="776">
        <f>TDIST(ABS(D8),C$4,2)</f>
        <v>0.16356196326319275</v>
      </c>
      <c r="G8" s="1278" t="s">
        <v>481</v>
      </c>
      <c r="H8" s="868">
        <v>-11.950642149516266</v>
      </c>
      <c r="I8" s="867">
        <v>58.804029370606052</v>
      </c>
      <c r="J8" s="867">
        <v>-69.153445676025228</v>
      </c>
      <c r="K8" s="866">
        <v>22.298445808061299</v>
      </c>
      <c r="M8"/>
    </row>
    <row r="9" spans="1:13" ht="19.5">
      <c r="A9" s="515" t="s">
        <v>484</v>
      </c>
      <c r="B9" s="37">
        <f>'10.7-1'!I5</f>
        <v>8.8405581185480084</v>
      </c>
      <c r="C9" s="514">
        <v>2.6522321526108077</v>
      </c>
      <c r="D9" s="36">
        <f>B9/C9</f>
        <v>3.3332519967550835</v>
      </c>
      <c r="E9" s="776">
        <f>TDIST(ABS(D9),C$4,2)</f>
        <v>2.0705014288066974E-2</v>
      </c>
      <c r="G9" s="1278" t="s">
        <v>480</v>
      </c>
      <c r="H9" s="868">
        <v>13.05387828662063</v>
      </c>
      <c r="I9" s="867">
        <v>-69.153445676026394</v>
      </c>
      <c r="J9" s="867">
        <v>85.764476243015068</v>
      </c>
      <c r="K9" s="866">
        <v>-28.538186222873119</v>
      </c>
      <c r="M9"/>
    </row>
    <row r="10" spans="1:13" ht="19.5">
      <c r="A10" s="513" t="s">
        <v>483</v>
      </c>
      <c r="B10" s="66">
        <f>'10.7-1'!I6</f>
        <v>-3.897128385513084</v>
      </c>
      <c r="C10" s="512">
        <v>0.89099366617657139</v>
      </c>
      <c r="D10" s="65">
        <f>B10/C10</f>
        <v>-4.373912557915733</v>
      </c>
      <c r="E10" s="763">
        <f>TDIST(ABS(D10),C$4,2)</f>
        <v>7.1955838648527382E-3</v>
      </c>
      <c r="G10" s="1277" t="s">
        <v>479</v>
      </c>
      <c r="H10" s="1276">
        <v>-4.0472503708070775</v>
      </c>
      <c r="I10" s="1275">
        <v>22.298445808061889</v>
      </c>
      <c r="J10" s="1275">
        <v>-28.538186222873385</v>
      </c>
      <c r="K10" s="988">
        <v>9.6790693600899971</v>
      </c>
      <c r="M10"/>
    </row>
    <row r="11" spans="1:13">
      <c r="M11"/>
    </row>
    <row r="12" spans="1:13">
      <c r="M12"/>
    </row>
    <row r="13" spans="1:13">
      <c r="M13"/>
    </row>
    <row r="14" spans="1:13">
      <c r="M14"/>
    </row>
    <row r="15" spans="1:13">
      <c r="J15" s="867"/>
      <c r="M15"/>
    </row>
    <row r="16" spans="1:13">
      <c r="M16"/>
    </row>
    <row r="17" spans="13:13">
      <c r="M17"/>
    </row>
    <row r="18" spans="13:13">
      <c r="M18"/>
    </row>
    <row r="19" spans="13:13">
      <c r="M19"/>
    </row>
    <row r="20" spans="13:13">
      <c r="M20"/>
    </row>
    <row r="21" spans="13:13">
      <c r="M21"/>
    </row>
    <row r="22" spans="13:13">
      <c r="M22"/>
    </row>
    <row r="23" spans="13:13">
      <c r="M23"/>
    </row>
  </sheetData>
  <mergeCells count="1">
    <mergeCell ref="A1:F1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7ED5-0778-4BA9-A2DA-9885DF582E0D}">
  <dimension ref="A1:Q16"/>
  <sheetViews>
    <sheetView zoomScaleNormal="100" workbookViewId="0">
      <selection activeCell="P8" sqref="P8"/>
    </sheetView>
  </sheetViews>
  <sheetFormatPr defaultColWidth="6.875" defaultRowHeight="15.75"/>
  <cols>
    <col min="1" max="4" width="6.875" customWidth="1"/>
    <col min="8" max="8" width="6.875" customWidth="1"/>
    <col min="9" max="9" width="3.875" customWidth="1"/>
  </cols>
  <sheetData>
    <row r="1" spans="1:17">
      <c r="A1" s="969" t="s">
        <v>478</v>
      </c>
      <c r="B1" s="568"/>
      <c r="C1" s="568"/>
      <c r="D1" s="751"/>
      <c r="E1" s="751"/>
      <c r="F1" s="751"/>
      <c r="G1" s="751"/>
      <c r="H1" s="569"/>
      <c r="J1" s="969" t="s">
        <v>477</v>
      </c>
      <c r="K1" s="568"/>
      <c r="L1" s="568"/>
      <c r="M1" s="751"/>
      <c r="N1" s="751"/>
      <c r="O1" s="751"/>
      <c r="P1" s="751"/>
      <c r="Q1" s="569"/>
    </row>
    <row r="2" spans="1:17" ht="18.75">
      <c r="A2" s="1218" t="s">
        <v>219</v>
      </c>
      <c r="B2" s="928" t="s">
        <v>456</v>
      </c>
      <c r="C2" s="1217" t="s">
        <v>455</v>
      </c>
      <c r="D2" s="1265" t="s">
        <v>258</v>
      </c>
      <c r="E2" s="1264" t="s">
        <v>476</v>
      </c>
      <c r="F2" s="1263"/>
      <c r="G2" s="1263"/>
      <c r="H2" s="661"/>
      <c r="J2" s="1218" t="s">
        <v>219</v>
      </c>
      <c r="K2" s="928" t="s">
        <v>456</v>
      </c>
      <c r="L2" s="1217" t="s">
        <v>455</v>
      </c>
      <c r="N2" s="1264" t="s">
        <v>475</v>
      </c>
      <c r="O2" s="1263"/>
      <c r="P2" s="1263"/>
      <c r="Q2" s="661"/>
    </row>
    <row r="3" spans="1:17">
      <c r="A3" s="1251">
        <v>3.5</v>
      </c>
      <c r="B3" s="1250">
        <v>1</v>
      </c>
      <c r="C3" s="1254" t="s">
        <v>474</v>
      </c>
      <c r="D3">
        <f t="array" ref="D3:D6">MMULT(A8:D11,G8:G11)</f>
        <v>3.5</v>
      </c>
      <c r="E3" s="921">
        <f t="array" ref="E3:H6">MMULT(TRANSPOSE(A8:D11),A8:D11)</f>
        <v>4</v>
      </c>
      <c r="F3" s="920">
        <v>0</v>
      </c>
      <c r="G3" s="920">
        <v>0</v>
      </c>
      <c r="H3" s="1259">
        <v>0</v>
      </c>
      <c r="J3" s="1251">
        <v>2.2999999999999998</v>
      </c>
      <c r="K3" s="1250">
        <v>-0.6</v>
      </c>
      <c r="L3" s="1254">
        <v>-1</v>
      </c>
      <c r="N3" s="1262">
        <f t="array" ref="N3:Q6">MMULT(TRANSPOSE(J8:M11),J8:M11)</f>
        <v>4</v>
      </c>
      <c r="O3" s="1261">
        <v>0.39999999999999991</v>
      </c>
      <c r="P3" s="1261">
        <v>-0.30000000000000004</v>
      </c>
      <c r="Q3" s="1260">
        <v>-0.40000000000000013</v>
      </c>
    </row>
    <row r="4" spans="1:17">
      <c r="A4" s="1251">
        <v>5</v>
      </c>
      <c r="B4" s="1250">
        <v>1</v>
      </c>
      <c r="C4" s="1254">
        <v>1</v>
      </c>
      <c r="D4">
        <v>5</v>
      </c>
      <c r="E4" s="921">
        <v>0</v>
      </c>
      <c r="F4" s="920">
        <v>4</v>
      </c>
      <c r="G4" s="920">
        <v>0</v>
      </c>
      <c r="H4" s="1259">
        <v>0</v>
      </c>
      <c r="J4" s="1251">
        <v>3.1</v>
      </c>
      <c r="K4" s="1250">
        <v>-0.5</v>
      </c>
      <c r="L4" s="1254">
        <v>0.8</v>
      </c>
      <c r="N4" s="1251">
        <v>0.39999999999999991</v>
      </c>
      <c r="O4" s="1250">
        <v>1.8599999999999999</v>
      </c>
      <c r="P4" s="1250">
        <v>-0.40000000000000013</v>
      </c>
      <c r="Q4" s="1254">
        <v>-1.01</v>
      </c>
    </row>
    <row r="5" spans="1:17">
      <c r="A5" s="1251">
        <v>2</v>
      </c>
      <c r="B5" s="1250" t="s">
        <v>474</v>
      </c>
      <c r="C5" s="1254" t="s">
        <v>474</v>
      </c>
      <c r="D5">
        <v>2</v>
      </c>
      <c r="E5" s="921">
        <v>0</v>
      </c>
      <c r="F5" s="920">
        <v>0</v>
      </c>
      <c r="G5" s="920">
        <v>4</v>
      </c>
      <c r="H5" s="1259">
        <v>0</v>
      </c>
      <c r="J5" s="1251">
        <v>4.4000000000000004</v>
      </c>
      <c r="K5" s="1250">
        <v>0.5</v>
      </c>
      <c r="L5" s="1254">
        <v>1</v>
      </c>
      <c r="N5" s="1251">
        <v>-0.30000000000000004</v>
      </c>
      <c r="O5" s="1250">
        <v>-0.40000000000000013</v>
      </c>
      <c r="P5" s="1250">
        <v>3.8500000000000005</v>
      </c>
      <c r="Q5" s="1254">
        <v>0.79000000000000015</v>
      </c>
    </row>
    <row r="6" spans="1:17">
      <c r="A6" s="1251">
        <v>2.5</v>
      </c>
      <c r="B6" s="1250" t="s">
        <v>474</v>
      </c>
      <c r="C6" s="1254">
        <v>1</v>
      </c>
      <c r="D6">
        <v>2.5</v>
      </c>
      <c r="E6" s="921">
        <v>0</v>
      </c>
      <c r="F6" s="920">
        <v>0</v>
      </c>
      <c r="G6" s="920">
        <v>0</v>
      </c>
      <c r="H6" s="1259">
        <v>4</v>
      </c>
      <c r="J6" s="1251">
        <v>3.4</v>
      </c>
      <c r="K6" s="1250">
        <v>1</v>
      </c>
      <c r="L6" s="1254">
        <v>-1.1000000000000001</v>
      </c>
      <c r="N6" s="1251">
        <v>-0.40000000000000013</v>
      </c>
      <c r="O6" s="1250">
        <v>-1.01</v>
      </c>
      <c r="P6" s="1250">
        <v>0.79000000000000015</v>
      </c>
      <c r="Q6" s="1254">
        <v>1.9800000000000002</v>
      </c>
    </row>
    <row r="7" spans="1:17" ht="21" customHeight="1">
      <c r="A7" s="927">
        <v>1</v>
      </c>
      <c r="B7" s="928" t="s">
        <v>456</v>
      </c>
      <c r="C7" s="928" t="s">
        <v>455</v>
      </c>
      <c r="D7" s="1219" t="s">
        <v>454</v>
      </c>
      <c r="E7" s="8" t="s">
        <v>465</v>
      </c>
      <c r="F7" s="1258" t="s">
        <v>468</v>
      </c>
      <c r="G7" s="966" t="s">
        <v>39</v>
      </c>
      <c r="H7" s="1258" t="s">
        <v>473</v>
      </c>
      <c r="J7" s="927">
        <v>1</v>
      </c>
      <c r="K7" s="928" t="s">
        <v>456</v>
      </c>
      <c r="L7" s="928" t="s">
        <v>455</v>
      </c>
      <c r="M7" s="1257" t="s">
        <v>454</v>
      </c>
      <c r="N7" s="966" t="s">
        <v>465</v>
      </c>
      <c r="O7" s="1232" t="s">
        <v>472</v>
      </c>
      <c r="P7" s="966" t="s">
        <v>39</v>
      </c>
      <c r="Q7" s="1232" t="s">
        <v>471</v>
      </c>
    </row>
    <row r="8" spans="1:17">
      <c r="A8" s="1251">
        <v>1</v>
      </c>
      <c r="B8" s="1250">
        <f>B3</f>
        <v>1</v>
      </c>
      <c r="C8" s="1250">
        <v>-1</v>
      </c>
      <c r="D8" s="1254">
        <f>B8*C8</f>
        <v>-1</v>
      </c>
      <c r="E8" s="1256">
        <f t="array" ref="E8:E11">MMULT(TRANSPOSE(A8:D11),A3:A6)</f>
        <v>13</v>
      </c>
      <c r="F8" s="1252"/>
      <c r="G8" s="1230">
        <f t="array" ref="G8:G11">MMULT(MINVERSE(E3:H6),E8:E11)</f>
        <v>3.25</v>
      </c>
      <c r="H8" s="1252"/>
      <c r="J8" s="1251">
        <v>1</v>
      </c>
      <c r="K8" s="1250">
        <f>K3</f>
        <v>-0.6</v>
      </c>
      <c r="L8" s="1250">
        <f>L3</f>
        <v>-1</v>
      </c>
      <c r="M8" s="1250">
        <f>K8*L8</f>
        <v>0.6</v>
      </c>
      <c r="N8" s="1230">
        <f t="array" ref="N8:N11">MMULT(TRANSPOSE(J8:M11),J3:J6)</f>
        <v>13.200000000000001</v>
      </c>
      <c r="O8" s="1248"/>
      <c r="P8" s="1255">
        <f t="array" ref="P8:P11">MMULT(MINVERSE(N3:Q6),N8:N11)</f>
        <v>3.2658012237473137</v>
      </c>
      <c r="Q8" s="1248"/>
    </row>
    <row r="9" spans="1:17">
      <c r="A9" s="1251">
        <v>1</v>
      </c>
      <c r="B9" s="1250">
        <f>B4</f>
        <v>1</v>
      </c>
      <c r="C9" s="1250">
        <v>1</v>
      </c>
      <c r="D9" s="1254">
        <f>B9*C9</f>
        <v>1</v>
      </c>
      <c r="E9" s="1253">
        <v>4</v>
      </c>
      <c r="F9" s="1252"/>
      <c r="G9" s="1229">
        <v>1</v>
      </c>
      <c r="H9" s="1252"/>
      <c r="J9" s="1251">
        <v>1</v>
      </c>
      <c r="K9" s="1250">
        <f>K4</f>
        <v>-0.5</v>
      </c>
      <c r="L9" s="1250">
        <f>L4</f>
        <v>0.8</v>
      </c>
      <c r="M9" s="1250">
        <f>K9*L9</f>
        <v>-0.4</v>
      </c>
      <c r="N9" s="1229">
        <v>2.6700000000000004</v>
      </c>
      <c r="O9" s="1248"/>
      <c r="P9" s="1249">
        <v>0.97734413758888783</v>
      </c>
      <c r="Q9" s="1248"/>
    </row>
    <row r="10" spans="1:17">
      <c r="A10" s="1251">
        <v>1</v>
      </c>
      <c r="B10" s="1250">
        <v>-1</v>
      </c>
      <c r="C10" s="1250">
        <v>-1</v>
      </c>
      <c r="D10" s="1254">
        <f>B10*C10</f>
        <v>1</v>
      </c>
      <c r="E10" s="1253">
        <v>2</v>
      </c>
      <c r="F10" s="1252"/>
      <c r="G10" s="1229">
        <v>0.5</v>
      </c>
      <c r="H10" s="1252"/>
      <c r="J10" s="1251">
        <v>1</v>
      </c>
      <c r="K10" s="1250">
        <f>K5</f>
        <v>0.5</v>
      </c>
      <c r="L10" s="1250">
        <f>L5</f>
        <v>1</v>
      </c>
      <c r="M10" s="1250">
        <f>K10*L10</f>
        <v>0.5</v>
      </c>
      <c r="N10" s="1229">
        <v>0.84000000000000075</v>
      </c>
      <c r="O10" s="1248"/>
      <c r="P10" s="1249">
        <v>0.52455763188357885</v>
      </c>
      <c r="Q10" s="1248"/>
    </row>
    <row r="11" spans="1:17">
      <c r="A11" s="1245">
        <v>1</v>
      </c>
      <c r="B11" s="1244">
        <v>-1</v>
      </c>
      <c r="C11" s="1244">
        <v>1</v>
      </c>
      <c r="D11" s="1247">
        <f>B11*C11</f>
        <v>-1</v>
      </c>
      <c r="E11" s="469">
        <v>1</v>
      </c>
      <c r="F11" s="1246"/>
      <c r="G11" s="1224">
        <v>0.25</v>
      </c>
      <c r="H11" s="1246"/>
      <c r="J11" s="1245">
        <v>1</v>
      </c>
      <c r="K11" s="1244">
        <f>K6</f>
        <v>1</v>
      </c>
      <c r="L11" s="1244">
        <f>L6</f>
        <v>-1.1000000000000001</v>
      </c>
      <c r="M11" s="1244">
        <f>K11*L11</f>
        <v>-1.1000000000000001</v>
      </c>
      <c r="N11" s="1224">
        <v>-1.4000000000000004</v>
      </c>
      <c r="O11" s="1242"/>
      <c r="P11" s="1243">
        <v>0.24193815114933037</v>
      </c>
      <c r="Q11" s="1242"/>
    </row>
    <row r="12" spans="1:17">
      <c r="A12" s="722" t="s">
        <v>470</v>
      </c>
      <c r="B12" s="722"/>
      <c r="C12" s="722"/>
      <c r="D12" s="722"/>
      <c r="E12" s="1240"/>
      <c r="F12" s="1240"/>
      <c r="G12" s="1240"/>
      <c r="H12" s="1240"/>
      <c r="J12" s="1241" t="s">
        <v>470</v>
      </c>
      <c r="K12" s="722"/>
      <c r="L12" s="722"/>
      <c r="M12" s="722"/>
      <c r="N12" s="1240"/>
      <c r="O12" s="1240"/>
      <c r="P12" s="1240"/>
      <c r="Q12" s="1239"/>
    </row>
    <row r="13" spans="1:17" ht="18.75">
      <c r="A13" s="1238" t="s">
        <v>469</v>
      </c>
      <c r="B13" s="1234"/>
      <c r="C13" s="1234"/>
      <c r="D13" s="1233"/>
      <c r="E13" s="966" t="s">
        <v>465</v>
      </c>
      <c r="F13" s="1232" t="s">
        <v>468</v>
      </c>
      <c r="G13" s="1237" t="s">
        <v>39</v>
      </c>
      <c r="H13" s="1231" t="s">
        <v>467</v>
      </c>
      <c r="I13" s="1236"/>
      <c r="J13" s="1235" t="s">
        <v>466</v>
      </c>
      <c r="K13" s="1234"/>
      <c r="L13" s="1234"/>
      <c r="M13" s="1233"/>
      <c r="N13" s="966" t="s">
        <v>465</v>
      </c>
      <c r="O13" s="1232" t="s">
        <v>464</v>
      </c>
      <c r="P13" s="966" t="s">
        <v>39</v>
      </c>
      <c r="Q13" s="1231" t="s">
        <v>463</v>
      </c>
    </row>
    <row r="14" spans="1:17">
      <c r="A14" s="921">
        <f t="array" ref="A14:C16">MMULT(TRANSPOSE(A8:C11),A8:C11)</f>
        <v>4</v>
      </c>
      <c r="B14" s="920">
        <v>0</v>
      </c>
      <c r="C14" s="920">
        <v>0</v>
      </c>
      <c r="D14" s="880"/>
      <c r="E14">
        <f t="array" ref="E14:E16">MMULT(TRANSPOSE(A8:C11),A3:A6)</f>
        <v>13</v>
      </c>
      <c r="F14" s="1228"/>
      <c r="G14" s="1184">
        <f t="array" ref="G14:G16">MMULT([1]!PseudoInv(A8:C11),A3:A6)</f>
        <v>3.2499999999999996</v>
      </c>
      <c r="H14" s="1227"/>
      <c r="J14" s="921">
        <f t="array" ref="J14:L16">MMULT(TRANSPOSE(J8:L11),J8:L11)</f>
        <v>4</v>
      </c>
      <c r="K14" s="920">
        <v>0.39999999999999991</v>
      </c>
      <c r="L14" s="920">
        <v>-0.30000000000000004</v>
      </c>
      <c r="M14" s="920"/>
      <c r="N14" s="1230">
        <f t="array" ref="N14:N16">MMULT(TRANSPOSE(J8:L11),J3:J6)</f>
        <v>13.200000000000001</v>
      </c>
      <c r="O14" s="1228"/>
      <c r="P14" s="1184">
        <f t="array" ref="P14:P16">MMULT([1]!PseudoInv(J8:L11),J3:J6)</f>
        <v>3.2564857998433192</v>
      </c>
      <c r="Q14" s="1227"/>
    </row>
    <row r="15" spans="1:17">
      <c r="A15" s="921">
        <v>0</v>
      </c>
      <c r="B15" s="920">
        <v>4</v>
      </c>
      <c r="C15" s="920">
        <v>0</v>
      </c>
      <c r="D15" s="872"/>
      <c r="E15">
        <v>4</v>
      </c>
      <c r="F15" s="1228"/>
      <c r="G15" s="1184">
        <v>0.99999999999999956</v>
      </c>
      <c r="H15" s="1227"/>
      <c r="J15" s="921">
        <v>0.39999999999999991</v>
      </c>
      <c r="K15" s="920">
        <v>1.8599999999999999</v>
      </c>
      <c r="L15" s="920">
        <v>-0.40000000000000013</v>
      </c>
      <c r="M15" s="920"/>
      <c r="N15" s="1229">
        <v>2.6700000000000004</v>
      </c>
      <c r="O15" s="1228"/>
      <c r="P15" s="1184">
        <v>0.85577634112590828</v>
      </c>
      <c r="Q15" s="1227"/>
    </row>
    <row r="16" spans="1:17">
      <c r="A16" s="918">
        <v>0</v>
      </c>
      <c r="B16" s="917">
        <v>0</v>
      </c>
      <c r="C16" s="917">
        <v>4</v>
      </c>
      <c r="D16" s="1226"/>
      <c r="E16" s="1225">
        <v>2</v>
      </c>
      <c r="F16" s="1223"/>
      <c r="G16" s="1222">
        <v>0.5</v>
      </c>
      <c r="H16" s="1221"/>
      <c r="I16" s="1225"/>
      <c r="J16" s="918">
        <v>-0.30000000000000004</v>
      </c>
      <c r="K16" s="917">
        <v>-0.40000000000000013</v>
      </c>
      <c r="L16" s="917">
        <v>3.8500000000000005</v>
      </c>
      <c r="M16" s="917"/>
      <c r="N16" s="1224">
        <v>0.84000000000000075</v>
      </c>
      <c r="O16" s="1223"/>
      <c r="P16" s="1222">
        <v>0.56084578607879287</v>
      </c>
      <c r="Q16" s="1221"/>
    </row>
  </sheetData>
  <mergeCells count="16">
    <mergeCell ref="A1:H1"/>
    <mergeCell ref="J1:Q1"/>
    <mergeCell ref="E2:H2"/>
    <mergeCell ref="N2:Q2"/>
    <mergeCell ref="F7:F11"/>
    <mergeCell ref="H7:H11"/>
    <mergeCell ref="O7:O11"/>
    <mergeCell ref="Q7:Q11"/>
    <mergeCell ref="A12:H12"/>
    <mergeCell ref="J12:Q12"/>
    <mergeCell ref="F13:F16"/>
    <mergeCell ref="H13:H16"/>
    <mergeCell ref="O13:O16"/>
    <mergeCell ref="Q13:Q16"/>
    <mergeCell ref="A13:D13"/>
    <mergeCell ref="J13:M13"/>
  </mergeCells>
  <conditionalFormatting sqref="A14:D16">
    <cfRule type="cellIs" dxfId="52" priority="2" operator="between">
      <formula>-0.0001</formula>
      <formula>0.0001</formula>
    </cfRule>
  </conditionalFormatting>
  <conditionalFormatting sqref="E3:H6">
    <cfRule type="cellIs" dxfId="51" priority="3" operator="between">
      <formula>-0.0001</formula>
      <formula>0.0001</formula>
    </cfRule>
  </conditionalFormatting>
  <conditionalFormatting sqref="J14:M16">
    <cfRule type="cellIs" dxfId="50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E461-02C2-4D70-B925-20001B981F1B}">
  <dimension ref="A1:R18"/>
  <sheetViews>
    <sheetView zoomScaleNormal="100" workbookViewId="0">
      <selection activeCell="A20" sqref="A20"/>
    </sheetView>
  </sheetViews>
  <sheetFormatPr defaultColWidth="6.875" defaultRowHeight="15.75"/>
  <cols>
    <col min="1" max="5" width="6.875" style="1"/>
    <col min="6" max="6" width="6.875" style="1" customWidth="1"/>
    <col min="7" max="8" width="6.875" style="1"/>
    <col min="9" max="10" width="6.875" style="1" customWidth="1"/>
    <col min="11" max="11" width="6.875" style="1"/>
    <col min="12" max="12" width="6.875" style="1" customWidth="1"/>
    <col min="13" max="16384" width="6.875" style="1"/>
  </cols>
  <sheetData>
    <row r="1" spans="1:18">
      <c r="A1" s="567" t="s">
        <v>14</v>
      </c>
      <c r="B1" s="826"/>
      <c r="C1" s="826"/>
      <c r="D1" s="825"/>
      <c r="E1" s="7" t="s">
        <v>462</v>
      </c>
      <c r="F1" s="454" t="s">
        <v>461</v>
      </c>
      <c r="G1" s="567" t="s">
        <v>460</v>
      </c>
      <c r="H1" s="568"/>
      <c r="I1" s="568"/>
      <c r="J1" s="568"/>
      <c r="K1" s="568"/>
      <c r="L1" s="568"/>
      <c r="M1" s="569"/>
    </row>
    <row r="2" spans="1:18" ht="18.75">
      <c r="A2" s="78">
        <v>0</v>
      </c>
      <c r="B2" s="1220" t="s">
        <v>456</v>
      </c>
      <c r="C2" s="1220" t="s">
        <v>455</v>
      </c>
      <c r="D2" s="1219" t="s">
        <v>454</v>
      </c>
      <c r="E2" s="1218" t="s">
        <v>219</v>
      </c>
      <c r="F2" s="1217" t="s">
        <v>258</v>
      </c>
      <c r="G2" s="1214" t="s">
        <v>35</v>
      </c>
      <c r="H2" s="91">
        <v>0</v>
      </c>
      <c r="I2" s="1216" t="s">
        <v>456</v>
      </c>
      <c r="J2" s="1216" t="s">
        <v>455</v>
      </c>
      <c r="K2" s="1215" t="s">
        <v>454</v>
      </c>
      <c r="L2" s="1214" t="s">
        <v>34</v>
      </c>
      <c r="M2" s="1214" t="s">
        <v>39</v>
      </c>
      <c r="R2" s="1213"/>
    </row>
    <row r="3" spans="1:18">
      <c r="A3" s="81">
        <v>1</v>
      </c>
      <c r="B3" s="88">
        <v>1</v>
      </c>
      <c r="C3" s="88">
        <v>-1</v>
      </c>
      <c r="D3" s="80">
        <f>C3*B3</f>
        <v>-1</v>
      </c>
      <c r="E3" s="523">
        <v>-1.0940000000000001</v>
      </c>
      <c r="F3" s="522">
        <f t="array" ref="F3:F10">MMULT(X,a)</f>
        <v>-1.5055000000000001</v>
      </c>
      <c r="G3" s="518">
        <v>0</v>
      </c>
      <c r="H3" s="81">
        <f t="array" ref="H3:K6">MMULT(TRANSPOSE(X),X)</f>
        <v>8</v>
      </c>
      <c r="I3" s="88">
        <v>0</v>
      </c>
      <c r="J3" s="88">
        <v>0</v>
      </c>
      <c r="K3" s="80">
        <v>0</v>
      </c>
      <c r="L3" s="467">
        <f t="array" ref="L3:L6">MMULT(TRANSPOSE(X),y)</f>
        <v>-3.2950000000000004</v>
      </c>
      <c r="M3" s="517">
        <f t="array" ref="M3:M6">MMULT(MMULT(MINVERSE(MMULT(TRANSPOSE(X),X)),TRANSPOSE(X)),y)</f>
        <v>-0.41187500000000005</v>
      </c>
      <c r="N3" s="36"/>
      <c r="Q3" s="36"/>
      <c r="R3" s="35"/>
    </row>
    <row r="4" spans="1:18" ht="17.25">
      <c r="A4" s="455">
        <v>1</v>
      </c>
      <c r="B4" s="1">
        <v>1</v>
      </c>
      <c r="C4" s="1">
        <v>-1</v>
      </c>
      <c r="D4" s="90">
        <f>C4*B4</f>
        <v>-1</v>
      </c>
      <c r="E4" s="514">
        <v>-1.917</v>
      </c>
      <c r="F4" s="36">
        <v>-1.5055000000000001</v>
      </c>
      <c r="G4" s="1207" t="s">
        <v>456</v>
      </c>
      <c r="H4" s="455">
        <v>0</v>
      </c>
      <c r="I4" s="1">
        <v>8</v>
      </c>
      <c r="J4" s="1">
        <v>0</v>
      </c>
      <c r="K4" s="90">
        <v>0</v>
      </c>
      <c r="L4" s="1212">
        <v>-0.85500000000000032</v>
      </c>
      <c r="M4" s="35">
        <v>-0.10687500000000004</v>
      </c>
      <c r="Q4" s="36"/>
      <c r="R4" s="35"/>
    </row>
    <row r="5" spans="1:18" ht="17.25">
      <c r="A5" s="455">
        <v>1</v>
      </c>
      <c r="B5" s="1">
        <v>1</v>
      </c>
      <c r="C5" s="1">
        <v>1</v>
      </c>
      <c r="D5" s="90">
        <f>C5*B5</f>
        <v>1</v>
      </c>
      <c r="E5" s="514">
        <v>0.69499999999999995</v>
      </c>
      <c r="F5" s="36">
        <v>0.46799999999999997</v>
      </c>
      <c r="G5" s="1207" t="s">
        <v>455</v>
      </c>
      <c r="H5" s="455">
        <v>0</v>
      </c>
      <c r="I5" s="1">
        <v>0</v>
      </c>
      <c r="J5" s="1">
        <v>8</v>
      </c>
      <c r="K5" s="90">
        <v>0</v>
      </c>
      <c r="L5" s="1212">
        <v>2.875</v>
      </c>
      <c r="M5" s="35">
        <v>0.359375</v>
      </c>
      <c r="Q5" s="36"/>
      <c r="R5" s="35"/>
    </row>
    <row r="6" spans="1:18" ht="17.25">
      <c r="A6" s="455">
        <v>1</v>
      </c>
      <c r="B6" s="1">
        <v>1</v>
      </c>
      <c r="C6" s="1">
        <v>1</v>
      </c>
      <c r="D6" s="90">
        <f>C6*B6</f>
        <v>1</v>
      </c>
      <c r="E6" s="514">
        <v>0.24099999999999999</v>
      </c>
      <c r="F6" s="36">
        <v>0.46799999999999997</v>
      </c>
      <c r="G6" s="1211" t="s">
        <v>454</v>
      </c>
      <c r="H6" s="106">
        <v>0</v>
      </c>
      <c r="I6" s="76">
        <v>0</v>
      </c>
      <c r="J6" s="76">
        <v>0</v>
      </c>
      <c r="K6" s="77">
        <v>8</v>
      </c>
      <c r="L6" s="1210">
        <v>5.0190000000000001</v>
      </c>
      <c r="M6" s="64">
        <v>0.62737500000000002</v>
      </c>
      <c r="Q6" s="36"/>
      <c r="R6" s="35"/>
    </row>
    <row r="7" spans="1:18">
      <c r="A7" s="455">
        <v>1</v>
      </c>
      <c r="B7" s="1">
        <v>-1</v>
      </c>
      <c r="C7" s="1">
        <v>-1</v>
      </c>
      <c r="D7" s="90">
        <f>C7*B7</f>
        <v>1</v>
      </c>
      <c r="E7" s="514">
        <v>-0.27200000000000002</v>
      </c>
      <c r="F7" s="37">
        <v>-3.6999999999999922E-2</v>
      </c>
      <c r="G7" s="652" t="s">
        <v>459</v>
      </c>
      <c r="H7" s="584"/>
      <c r="R7" s="35"/>
    </row>
    <row r="8" spans="1:18">
      <c r="A8" s="455">
        <v>1</v>
      </c>
      <c r="B8" s="1">
        <v>-1</v>
      </c>
      <c r="C8" s="1">
        <v>-1</v>
      </c>
      <c r="D8" s="90">
        <f>C8*B8</f>
        <v>1</v>
      </c>
      <c r="E8" s="514">
        <v>0.19800000000000001</v>
      </c>
      <c r="F8" s="37">
        <v>-3.6999999999999922E-2</v>
      </c>
      <c r="G8" s="1209" t="s">
        <v>324</v>
      </c>
      <c r="H8" s="80">
        <f>COUNTA(A2:D2)</f>
        <v>4</v>
      </c>
      <c r="R8" s="35"/>
    </row>
    <row r="9" spans="1:18">
      <c r="A9" s="455">
        <v>1</v>
      </c>
      <c r="B9" s="1">
        <v>-1</v>
      </c>
      <c r="C9" s="1">
        <v>1</v>
      </c>
      <c r="D9" s="90">
        <f>C9*B9</f>
        <v>-1</v>
      </c>
      <c r="E9" s="514">
        <v>-0.504</v>
      </c>
      <c r="F9" s="37">
        <v>-0.57299999999999995</v>
      </c>
      <c r="G9" s="1208" t="s">
        <v>325</v>
      </c>
      <c r="H9" s="90">
        <f>COUNT(y)</f>
        <v>8</v>
      </c>
      <c r="R9" s="35"/>
    </row>
    <row r="10" spans="1:18">
      <c r="A10" s="106">
        <v>1</v>
      </c>
      <c r="B10" s="76">
        <v>-1</v>
      </c>
      <c r="C10" s="76">
        <v>1</v>
      </c>
      <c r="D10" s="77">
        <f>C10*B10</f>
        <v>-1</v>
      </c>
      <c r="E10" s="512">
        <v>-0.64200000000000002</v>
      </c>
      <c r="F10" s="66">
        <v>-0.57299999999999995</v>
      </c>
      <c r="G10" s="1208" t="s">
        <v>458</v>
      </c>
      <c r="H10" s="90">
        <f>AVERAGE(y)</f>
        <v>-0.41187500000000005</v>
      </c>
      <c r="R10" s="35"/>
    </row>
    <row r="11" spans="1:18" ht="18.75">
      <c r="A11" s="567" t="s">
        <v>27</v>
      </c>
      <c r="B11" s="568"/>
      <c r="C11" s="568"/>
      <c r="D11" s="568"/>
      <c r="E11" s="568"/>
      <c r="F11" s="570"/>
      <c r="G11" s="652" t="s">
        <v>457</v>
      </c>
      <c r="H11" s="809"/>
      <c r="I11" s="809"/>
      <c r="J11" s="809"/>
      <c r="K11" s="808"/>
    </row>
    <row r="12" spans="1:18" ht="18.75">
      <c r="A12" s="524" t="s">
        <v>47</v>
      </c>
      <c r="B12" s="464" t="s">
        <v>30</v>
      </c>
      <c r="C12" s="454" t="s">
        <v>31</v>
      </c>
      <c r="D12" s="524" t="s">
        <v>32</v>
      </c>
      <c r="E12" s="787" t="s">
        <v>3</v>
      </c>
      <c r="F12" s="121" t="s">
        <v>33</v>
      </c>
      <c r="G12" s="756" t="s">
        <v>47</v>
      </c>
      <c r="H12" s="807" t="s">
        <v>30</v>
      </c>
      <c r="I12" s="796" t="s">
        <v>31</v>
      </c>
      <c r="J12" s="807" t="s">
        <v>37</v>
      </c>
      <c r="K12" s="470" t="s">
        <v>33</v>
      </c>
    </row>
    <row r="13" spans="1:18" ht="17.25">
      <c r="A13" s="1207" t="s">
        <v>456</v>
      </c>
      <c r="B13" s="1">
        <f>L4*M4</f>
        <v>9.1378125000000074E-2</v>
      </c>
      <c r="C13" s="90">
        <v>1</v>
      </c>
      <c r="D13" s="450">
        <f>B13/C13</f>
        <v>9.1378125000000074E-2</v>
      </c>
      <c r="E13" s="1">
        <f>D13/D$17</f>
        <v>0.65073184800634798</v>
      </c>
      <c r="F13" s="37">
        <f>FDIST(E13,C13,C$17)</f>
        <v>0.46508038975905858</v>
      </c>
      <c r="G13" s="1207" t="s">
        <v>456</v>
      </c>
      <c r="H13" s="1">
        <f>B13</f>
        <v>9.1378125000000074E-2</v>
      </c>
      <c r="I13" s="90">
        <f>C13</f>
        <v>1</v>
      </c>
      <c r="J13" s="1205">
        <f>B13/B$18</f>
        <v>1.8899024928977919E-2</v>
      </c>
      <c r="K13" s="37">
        <f>1-_xlfn.BETA.DIST(J13/(J13+J$17),C13/2,C$17/2,1)</f>
        <v>0.46508038975905852</v>
      </c>
    </row>
    <row r="14" spans="1:18" ht="17.25">
      <c r="A14" s="1207" t="s">
        <v>455</v>
      </c>
      <c r="B14" s="1">
        <f>L5*M5</f>
        <v>1.033203125</v>
      </c>
      <c r="C14" s="90">
        <v>1</v>
      </c>
      <c r="D14" s="450">
        <f>B14/C14</f>
        <v>1.033203125</v>
      </c>
      <c r="E14" s="1">
        <f>D14/D$17</f>
        <v>7.3577585324407035</v>
      </c>
      <c r="F14" s="37">
        <f>FDIST(E14,C14,C$17)</f>
        <v>5.3398023229167257E-2</v>
      </c>
      <c r="G14" s="1207" t="s">
        <v>455</v>
      </c>
      <c r="H14" s="1">
        <f>B14</f>
        <v>1.033203125</v>
      </c>
      <c r="I14" s="90">
        <f>C14</f>
        <v>1</v>
      </c>
      <c r="J14" s="1205">
        <f>B14/B$18</f>
        <v>0.21368934431597139</v>
      </c>
      <c r="K14" s="37">
        <f>1-_xlfn.BETA.DIST(J14/(J14+J$17),C14/2,C$17/2,1)</f>
        <v>5.3398023229167313E-2</v>
      </c>
    </row>
    <row r="15" spans="1:18" ht="17.25">
      <c r="A15" s="1206" t="s">
        <v>454</v>
      </c>
      <c r="B15" s="1">
        <f>L6*M6</f>
        <v>3.1487951250000004</v>
      </c>
      <c r="C15" s="90">
        <v>1</v>
      </c>
      <c r="D15" s="450">
        <f>B15/C15</f>
        <v>3.1487951250000004</v>
      </c>
      <c r="E15" s="1">
        <f>D15/D$17</f>
        <v>22.423542512878527</v>
      </c>
      <c r="F15" s="37">
        <f>FDIST(E15,C15,C$17)</f>
        <v>9.0682258197980342E-3</v>
      </c>
      <c r="G15" s="1206" t="s">
        <v>454</v>
      </c>
      <c r="H15" s="1">
        <f>B15</f>
        <v>3.1487951250000004</v>
      </c>
      <c r="I15" s="90">
        <f>C15</f>
        <v>1</v>
      </c>
      <c r="J15" s="1205">
        <f>B15/B$18</f>
        <v>0.65124073801710314</v>
      </c>
      <c r="K15" s="37">
        <f>1-_xlfn.BETA.DIST(J15/(J15+J$17),C15/2,C$17/2,1)</f>
        <v>9.0682258197980481E-3</v>
      </c>
    </row>
    <row r="16" spans="1:18">
      <c r="A16" s="518" t="s">
        <v>5</v>
      </c>
      <c r="B16" s="88">
        <f>SUMSQ(y_hat)-n*y_bar^2</f>
        <v>4.2733763750000016</v>
      </c>
      <c r="C16" s="80">
        <f>m-1</f>
        <v>3</v>
      </c>
      <c r="D16" s="118">
        <f>B16/C16</f>
        <v>1.4244587916666671</v>
      </c>
      <c r="E16" s="88">
        <f>D16/D17</f>
        <v>10.144010964441861</v>
      </c>
      <c r="F16" s="124">
        <f>FDIST(E16,C16,C$17)</f>
        <v>2.4302115027830994E-2</v>
      </c>
      <c r="G16" s="518" t="s">
        <v>5</v>
      </c>
      <c r="H16" s="88">
        <f>SUMSQ(y_hat)-n*y_bar^2</f>
        <v>4.2733763750000016</v>
      </c>
      <c r="I16" s="80">
        <f>m-1</f>
        <v>3</v>
      </c>
      <c r="J16" s="1204">
        <f>B16/B$18</f>
        <v>0.88382910726205266</v>
      </c>
      <c r="K16" s="124">
        <f>1-_xlfn.BETA.DIST(J16/(J16+J$17),C16/2,C$17/2,1)</f>
        <v>2.4302115027831084E-2</v>
      </c>
    </row>
    <row r="17" spans="1:11">
      <c r="A17" s="513" t="s">
        <v>6</v>
      </c>
      <c r="B17" s="76">
        <f>SUMSQ(y)-SUMSQ(y_hat)</f>
        <v>0.56169449999999799</v>
      </c>
      <c r="C17" s="77">
        <f>n-m</f>
        <v>4</v>
      </c>
      <c r="D17" s="64">
        <f>B17/C17</f>
        <v>0.1404236249999995</v>
      </c>
      <c r="F17" s="90"/>
      <c r="G17" s="513" t="s">
        <v>6</v>
      </c>
      <c r="H17" s="76">
        <f>SUMSQ(y)-SUMSQ(y_hat)</f>
        <v>0.56169449999999799</v>
      </c>
      <c r="I17" s="77">
        <f>n-m</f>
        <v>4</v>
      </c>
      <c r="J17" s="1203">
        <f>B17/B$18</f>
        <v>0.11617089273794731</v>
      </c>
      <c r="K17" s="90"/>
    </row>
    <row r="18" spans="1:11">
      <c r="A18" s="513" t="s">
        <v>7</v>
      </c>
      <c r="B18" s="76">
        <f>SUMSQ(y)-n*y_bar^2</f>
        <v>4.8350708749999995</v>
      </c>
      <c r="C18" s="77">
        <f>n-1</f>
        <v>7</v>
      </c>
      <c r="D18" s="76"/>
      <c r="E18" s="76"/>
      <c r="F18" s="77"/>
      <c r="G18" s="513" t="s">
        <v>7</v>
      </c>
      <c r="H18" s="76">
        <f>SUMSQ(y)-n*y_bar^2</f>
        <v>4.8350708749999995</v>
      </c>
      <c r="I18" s="77">
        <f>n-1</f>
        <v>7</v>
      </c>
      <c r="J18" s="1203">
        <f>B18/B$18</f>
        <v>1</v>
      </c>
      <c r="K18" s="77"/>
    </row>
  </sheetData>
  <mergeCells count="5">
    <mergeCell ref="A1:D1"/>
    <mergeCell ref="A11:F11"/>
    <mergeCell ref="G11:K11"/>
    <mergeCell ref="G7:H7"/>
    <mergeCell ref="G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1394-347B-40D2-AFDE-4775313B7F61}">
  <dimension ref="A1:J15"/>
  <sheetViews>
    <sheetView zoomScaleNormal="100" workbookViewId="0">
      <selection activeCell="F11" sqref="F11"/>
    </sheetView>
  </sheetViews>
  <sheetFormatPr defaultColWidth="6.875" defaultRowHeight="15.75"/>
  <cols>
    <col min="2" max="2" width="6.875" customWidth="1"/>
    <col min="11" max="11" width="6.875" customWidth="1"/>
  </cols>
  <sheetData>
    <row r="1" spans="1:10" ht="18.75">
      <c r="A1" s="756" t="s">
        <v>453</v>
      </c>
      <c r="B1" s="1202" t="s">
        <v>14</v>
      </c>
      <c r="C1" s="1201"/>
      <c r="D1" s="1201"/>
      <c r="E1" s="1200"/>
      <c r="F1" s="1202" t="s">
        <v>452</v>
      </c>
      <c r="G1" s="1201"/>
      <c r="H1" s="1201"/>
      <c r="I1" s="1200"/>
      <c r="J1" s="756" t="s">
        <v>39</v>
      </c>
    </row>
    <row r="2" spans="1:10">
      <c r="A2" s="852">
        <v>2.19</v>
      </c>
      <c r="B2" s="81">
        <v>1</v>
      </c>
      <c r="C2" s="88">
        <v>-0.5</v>
      </c>
      <c r="D2" s="88">
        <v>-0.5</v>
      </c>
      <c r="E2" s="80">
        <v>-0.5</v>
      </c>
      <c r="F2" s="81">
        <f t="array" ref="F2:I5">MMULT(TRANSPOSE(B2:E5),B2:E5)</f>
        <v>4</v>
      </c>
      <c r="G2" s="88">
        <v>0</v>
      </c>
      <c r="H2" s="88">
        <v>0</v>
      </c>
      <c r="I2" s="80">
        <v>0</v>
      </c>
      <c r="J2" s="517">
        <f t="array" ref="J2:J5">MMULT([1]!PseudoInv(B2:E5),A2:A5)</f>
        <v>2.6675000000000004</v>
      </c>
    </row>
    <row r="3" spans="1:10">
      <c r="A3" s="855">
        <v>2.7</v>
      </c>
      <c r="B3" s="455">
        <v>1</v>
      </c>
      <c r="C3" s="1">
        <v>1.5</v>
      </c>
      <c r="D3" s="1">
        <v>-0.5</v>
      </c>
      <c r="E3" s="90">
        <v>-0.5</v>
      </c>
      <c r="F3" s="455">
        <v>0</v>
      </c>
      <c r="G3" s="1">
        <v>3</v>
      </c>
      <c r="H3" s="1">
        <v>-1</v>
      </c>
      <c r="I3" s="90">
        <v>-1</v>
      </c>
      <c r="J3" s="35">
        <v>0.25500000000000012</v>
      </c>
    </row>
    <row r="4" spans="1:10">
      <c r="A4" s="855">
        <v>2.95</v>
      </c>
      <c r="B4" s="455">
        <v>1</v>
      </c>
      <c r="C4" s="1">
        <v>-0.5</v>
      </c>
      <c r="D4" s="1">
        <v>1.5</v>
      </c>
      <c r="E4" s="90">
        <v>-0.5</v>
      </c>
      <c r="F4" s="455">
        <v>0</v>
      </c>
      <c r="G4" s="1">
        <v>-1</v>
      </c>
      <c r="H4" s="1">
        <v>3</v>
      </c>
      <c r="I4" s="90">
        <v>-1</v>
      </c>
      <c r="J4" s="35">
        <v>0.38000000000000073</v>
      </c>
    </row>
    <row r="5" spans="1:10">
      <c r="A5" s="851">
        <v>2.83</v>
      </c>
      <c r="B5" s="106">
        <v>1</v>
      </c>
      <c r="C5" s="76">
        <v>-0.5</v>
      </c>
      <c r="D5" s="76">
        <v>-0.5</v>
      </c>
      <c r="E5" s="77">
        <v>1.5</v>
      </c>
      <c r="F5" s="106">
        <v>0</v>
      </c>
      <c r="G5" s="76">
        <v>-1</v>
      </c>
      <c r="H5" s="76">
        <v>-1</v>
      </c>
      <c r="I5" s="77">
        <v>3</v>
      </c>
      <c r="J5" s="64">
        <v>0.32000000000000006</v>
      </c>
    </row>
    <row r="6" spans="1:10" ht="18.75">
      <c r="A6" s="756" t="s">
        <v>451</v>
      </c>
      <c r="B6" s="1202" t="s">
        <v>450</v>
      </c>
      <c r="C6" s="1201"/>
      <c r="D6" s="1201"/>
      <c r="E6" s="1200"/>
      <c r="F6" s="1202" t="s">
        <v>449</v>
      </c>
      <c r="G6" s="1201"/>
      <c r="H6" s="1201"/>
      <c r="I6" s="1200"/>
      <c r="J6" s="756" t="s">
        <v>386</v>
      </c>
    </row>
    <row r="7" spans="1:10">
      <c r="A7" s="852">
        <f t="array" ref="A7:A10">MMULT(B7:E10,J7:J10)</f>
        <v>2.19</v>
      </c>
      <c r="B7" s="81">
        <f t="array" ref="B7:E10">MMULT(B2:E5,B12:E15)</f>
        <v>0</v>
      </c>
      <c r="C7" s="88">
        <v>-1</v>
      </c>
      <c r="D7" s="1199">
        <v>-5.5511151231257827E-17</v>
      </c>
      <c r="E7" s="80">
        <v>0.8660254037844386</v>
      </c>
      <c r="F7" s="81">
        <f t="array" ref="F7:I10">MMULT(TRANSPOSE(B7:E10),B7:E10)</f>
        <v>3.9999999999999991</v>
      </c>
      <c r="G7" s="88">
        <v>0</v>
      </c>
      <c r="H7" s="88">
        <v>0</v>
      </c>
      <c r="I7" s="80">
        <v>-3.3306690738754696E-16</v>
      </c>
      <c r="J7" s="517">
        <f t="array" ref="J7:J10">MMULT(TRANSPOSE(B12:E15),J2:J5)</f>
        <v>8.8388347648318877E-2</v>
      </c>
    </row>
    <row r="8" spans="1:10">
      <c r="A8" s="855">
        <v>2.7</v>
      </c>
      <c r="B8" s="514">
        <v>-1.4142135623730949</v>
      </c>
      <c r="C8" s="1">
        <v>-1</v>
      </c>
      <c r="D8" s="1">
        <v>-0.81649658092772603</v>
      </c>
      <c r="E8" s="90">
        <v>-0.28867513459481281</v>
      </c>
      <c r="F8" s="455">
        <v>0</v>
      </c>
      <c r="G8" s="1">
        <v>4</v>
      </c>
      <c r="H8" s="1">
        <v>2.2204460492503131E-16</v>
      </c>
      <c r="I8" s="90">
        <v>3.8857805861880479E-16</v>
      </c>
      <c r="J8" s="35">
        <v>-2.6675000000000004</v>
      </c>
    </row>
    <row r="9" spans="1:10">
      <c r="A9" s="855">
        <v>2.9500000000000015</v>
      </c>
      <c r="B9" s="514">
        <v>1.4142135623730949</v>
      </c>
      <c r="C9" s="1">
        <v>-1</v>
      </c>
      <c r="D9" s="1">
        <v>-0.81649658092772603</v>
      </c>
      <c r="E9" s="90">
        <v>-0.28867513459481303</v>
      </c>
      <c r="F9" s="455">
        <v>0</v>
      </c>
      <c r="G9" s="1">
        <v>2.2204460492503131E-16</v>
      </c>
      <c r="H9" s="1">
        <v>3.9999999999999991</v>
      </c>
      <c r="I9" s="90">
        <v>-2.7755575615628914E-16</v>
      </c>
      <c r="J9" s="35">
        <v>2.0412414523190425E-3</v>
      </c>
    </row>
    <row r="10" spans="1:10">
      <c r="A10" s="851">
        <v>2.8300000000000005</v>
      </c>
      <c r="B10" s="106">
        <v>0</v>
      </c>
      <c r="C10" s="76">
        <v>-1</v>
      </c>
      <c r="D10" s="76">
        <v>1.6329931618554518</v>
      </c>
      <c r="E10" s="77">
        <v>-0.28867513459481309</v>
      </c>
      <c r="F10" s="106">
        <v>-3.3306690738754696E-16</v>
      </c>
      <c r="G10" s="76">
        <v>3.8857805861880479E-16</v>
      </c>
      <c r="H10" s="76">
        <v>-2.7755575615628914E-16</v>
      </c>
      <c r="I10" s="77">
        <v>1</v>
      </c>
      <c r="J10" s="64">
        <v>-0.55136950707609322</v>
      </c>
    </row>
    <row r="11" spans="1:10">
      <c r="A11" s="452" t="s">
        <v>448</v>
      </c>
      <c r="B11" s="456">
        <f t="array" ref="B11:E15">[1]!eigVECTSym(F2:I5)</f>
        <v>4</v>
      </c>
      <c r="C11" s="457">
        <v>4</v>
      </c>
      <c r="D11" s="457">
        <v>4</v>
      </c>
      <c r="E11" s="93">
        <v>1</v>
      </c>
      <c r="F11" s="1"/>
      <c r="G11" s="1"/>
      <c r="H11" s="1"/>
      <c r="I11" s="1"/>
      <c r="J11" s="1"/>
    </row>
    <row r="12" spans="1:10">
      <c r="A12" s="1198" t="s">
        <v>447</v>
      </c>
      <c r="B12" s="81">
        <v>0</v>
      </c>
      <c r="C12" s="88">
        <v>-1</v>
      </c>
      <c r="D12" s="88">
        <v>0</v>
      </c>
      <c r="E12" s="80">
        <v>0</v>
      </c>
      <c r="F12" s="1"/>
      <c r="G12" s="1"/>
      <c r="H12" s="1"/>
      <c r="I12" s="1"/>
      <c r="J12" s="1"/>
    </row>
    <row r="13" spans="1:10">
      <c r="A13" s="1197"/>
      <c r="B13" s="455">
        <v>-0.70710678118654746</v>
      </c>
      <c r="C13" s="1">
        <v>0</v>
      </c>
      <c r="D13" s="1">
        <v>-0.40824829046386296</v>
      </c>
      <c r="E13" s="90">
        <v>-0.57735026918962573</v>
      </c>
      <c r="F13" s="1"/>
      <c r="G13" s="1"/>
      <c r="H13" s="1"/>
      <c r="I13" s="1"/>
      <c r="J13" s="1"/>
    </row>
    <row r="14" spans="1:10">
      <c r="A14" s="1197"/>
      <c r="B14" s="455">
        <v>0.70710678118654746</v>
      </c>
      <c r="C14" s="1">
        <v>0</v>
      </c>
      <c r="D14" s="1">
        <v>-0.40824829046386296</v>
      </c>
      <c r="E14" s="90">
        <v>-0.57735026918962584</v>
      </c>
      <c r="F14" s="1"/>
      <c r="G14" s="1"/>
      <c r="H14" s="1"/>
      <c r="I14" s="1"/>
      <c r="J14" s="1"/>
    </row>
    <row r="15" spans="1:10">
      <c r="A15" s="1196"/>
      <c r="B15" s="106">
        <v>0</v>
      </c>
      <c r="C15" s="76">
        <v>0</v>
      </c>
      <c r="D15" s="76">
        <v>0.81649658092772603</v>
      </c>
      <c r="E15" s="77">
        <v>-0.57735026918962584</v>
      </c>
      <c r="F15" s="1"/>
      <c r="G15" s="1"/>
      <c r="H15" s="1"/>
      <c r="I15" s="1"/>
      <c r="J15" s="1"/>
    </row>
  </sheetData>
  <mergeCells count="5">
    <mergeCell ref="B1:E1"/>
    <mergeCell ref="F1:I1"/>
    <mergeCell ref="B6:E6"/>
    <mergeCell ref="F6:I6"/>
    <mergeCell ref="A12:A15"/>
  </mergeCells>
  <conditionalFormatting sqref="F7:I10">
    <cfRule type="cellIs" dxfId="49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0C98-3194-4267-A4FC-D602B314C589}">
  <dimension ref="A1:L27"/>
  <sheetViews>
    <sheetView zoomScaleNormal="100" workbookViewId="0">
      <selection activeCell="D18" sqref="D18"/>
    </sheetView>
  </sheetViews>
  <sheetFormatPr defaultColWidth="6.875" defaultRowHeight="15.75"/>
  <cols>
    <col min="1" max="3" width="6.875" style="1"/>
    <col min="4" max="4" width="8.375" style="1" bestFit="1" customWidth="1"/>
    <col min="5" max="6" width="6.875" style="1" customWidth="1"/>
    <col min="7" max="7" width="8.375" style="1" bestFit="1" customWidth="1"/>
    <col min="8" max="12" width="6.875" style="1" customWidth="1"/>
    <col min="13" max="16384" width="6.875" style="1"/>
  </cols>
  <sheetData>
    <row r="1" spans="1:12">
      <c r="A1" s="741"/>
      <c r="B1" s="567" t="s">
        <v>14</v>
      </c>
      <c r="C1" s="826"/>
      <c r="D1" s="826"/>
      <c r="E1" s="826"/>
      <c r="F1" s="826"/>
      <c r="G1" s="825"/>
      <c r="H1" s="567" t="s">
        <v>446</v>
      </c>
      <c r="I1" s="826"/>
      <c r="J1" s="825"/>
      <c r="K1" s="567" t="s">
        <v>445</v>
      </c>
      <c r="L1" s="825"/>
    </row>
    <row r="2" spans="1:12" ht="19.5">
      <c r="A2" s="67" t="s">
        <v>10</v>
      </c>
      <c r="B2" s="23" t="s">
        <v>422</v>
      </c>
      <c r="C2" s="7" t="s">
        <v>444</v>
      </c>
      <c r="D2" s="454" t="s">
        <v>443</v>
      </c>
      <c r="E2" s="7" t="s">
        <v>442</v>
      </c>
      <c r="F2" s="464" t="s">
        <v>441</v>
      </c>
      <c r="G2" s="454" t="s">
        <v>440</v>
      </c>
      <c r="H2" s="1195" t="s">
        <v>219</v>
      </c>
      <c r="I2" s="1194" t="s">
        <v>439</v>
      </c>
      <c r="J2" s="1193" t="s">
        <v>438</v>
      </c>
      <c r="K2" s="7" t="s">
        <v>437</v>
      </c>
      <c r="L2" s="1192" t="s">
        <v>436</v>
      </c>
    </row>
    <row r="3" spans="1:12">
      <c r="A3" s="669">
        <v>1</v>
      </c>
      <c r="B3" s="39">
        <v>1</v>
      </c>
      <c r="C3" s="852">
        <v>0.17</v>
      </c>
      <c r="D3" s="852">
        <v>-0.84</v>
      </c>
      <c r="E3" s="517">
        <f>C3*D3</f>
        <v>-0.14280000000000001</v>
      </c>
      <c r="F3" s="517">
        <f>C3^2</f>
        <v>2.8900000000000006E-2</v>
      </c>
      <c r="G3" s="517">
        <f>D3^2</f>
        <v>0.70559999999999989</v>
      </c>
      <c r="H3" s="852">
        <v>0.87</v>
      </c>
      <c r="I3" s="886">
        <f t="array" ref="I3:I11">a_0+MMULT(x_,α)+[1]!DIAG(MMULT(MMULT(x_,A),TRANSPOSE(x_)))</f>
        <v>0.8698838100974744</v>
      </c>
      <c r="J3" s="849">
        <f t="array" ref="J3">a_0+MMULT(u_,TRANSPOSE(β))+[1]!DIAG(MMULT(MMULT(u_,Λ),TRANSPOSE(u_)))</f>
        <v>0.86988381009747451</v>
      </c>
      <c r="K3" s="523">
        <f t="array" ref="K3:L11">MMULT(x_,K)</f>
        <v>0.79991727333661988</v>
      </c>
      <c r="L3" s="124">
        <v>-0.30762372440646946</v>
      </c>
    </row>
    <row r="4" spans="1:12">
      <c r="A4" s="668">
        <v>2</v>
      </c>
      <c r="B4" s="448">
        <v>1</v>
      </c>
      <c r="C4" s="855">
        <v>-0.44</v>
      </c>
      <c r="D4" s="855">
        <v>0.61</v>
      </c>
      <c r="E4" s="35">
        <f>C4*D4</f>
        <v>-0.26839999999999997</v>
      </c>
      <c r="F4" s="35">
        <f>C4^2</f>
        <v>0.19359999999999999</v>
      </c>
      <c r="G4" s="35">
        <f>D4^2</f>
        <v>0.37209999999999999</v>
      </c>
      <c r="H4" s="855">
        <v>1.4</v>
      </c>
      <c r="I4" s="1190">
        <v>1.4010888741783165</v>
      </c>
      <c r="J4" s="1191">
        <f t="array" ref="J4">$B$13+MMULT(β,TRANSPOSE(K4:L4))+MMULT(MMULT(K4:L4,Λ),TRANSPOSE(K4:L4))</f>
        <v>1.401088874178317</v>
      </c>
      <c r="K4" s="514">
        <v>-0.52813379793544324</v>
      </c>
      <c r="L4" s="37">
        <v>0.53551348393694487</v>
      </c>
    </row>
    <row r="5" spans="1:12">
      <c r="A5" s="668">
        <v>3</v>
      </c>
      <c r="B5" s="448">
        <v>1</v>
      </c>
      <c r="C5" s="855">
        <v>-0.5</v>
      </c>
      <c r="D5" s="855">
        <v>0.93</v>
      </c>
      <c r="E5" s="35">
        <f>C5*D5</f>
        <v>-0.46500000000000002</v>
      </c>
      <c r="F5" s="35">
        <f>C5^2</f>
        <v>0.25</v>
      </c>
      <c r="G5" s="35">
        <f>D5^2</f>
        <v>0.86490000000000011</v>
      </c>
      <c r="H5" s="855">
        <v>1.8</v>
      </c>
      <c r="I5" s="1190">
        <v>1.7996866628310499</v>
      </c>
      <c r="J5" s="1191">
        <f t="array" ref="J5">$B$13+MMULT(β,TRANSPOSE(K5:L5))+MMULT(MMULT(K5:L5,Λ),TRANSPOSE(K5:L5))</f>
        <v>1.7996866628310502</v>
      </c>
      <c r="K5" s="514">
        <v>-0.83365784716422853</v>
      </c>
      <c r="L5" s="37">
        <v>0.6480081742242948</v>
      </c>
    </row>
    <row r="6" spans="1:12">
      <c r="A6" s="668">
        <v>4</v>
      </c>
      <c r="B6" s="448">
        <v>1</v>
      </c>
      <c r="C6" s="855">
        <v>0.84</v>
      </c>
      <c r="D6" s="855">
        <v>0.76</v>
      </c>
      <c r="E6" s="35">
        <f>C6*D6</f>
        <v>0.63839999999999997</v>
      </c>
      <c r="F6" s="35">
        <f>C6^2</f>
        <v>0.70559999999999989</v>
      </c>
      <c r="G6" s="35">
        <f>D6^2</f>
        <v>0.5776</v>
      </c>
      <c r="H6" s="855">
        <v>1.36</v>
      </c>
      <c r="I6" s="1190">
        <v>1.3597921357028666</v>
      </c>
      <c r="J6" s="1191">
        <f t="array" ref="J6">$B$13+MMULT(β,TRANSPOSE(K6:L6))+MMULT(MMULT(K6:L6,Λ),TRANSPOSE(K6:L6))</f>
        <v>1.3597921357028666</v>
      </c>
      <c r="K6" s="514">
        <v>-0.88937138978917551</v>
      </c>
      <c r="L6" s="37">
        <v>-0.70158287537857578</v>
      </c>
    </row>
    <row r="7" spans="1:12">
      <c r="A7" s="668">
        <v>5</v>
      </c>
      <c r="B7" s="448">
        <v>1</v>
      </c>
      <c r="C7" s="855">
        <v>0.54</v>
      </c>
      <c r="D7" s="855">
        <v>-0.15</v>
      </c>
      <c r="E7" s="35">
        <f>C7*D7</f>
        <v>-8.1000000000000003E-2</v>
      </c>
      <c r="F7" s="35">
        <f>C7^2</f>
        <v>0.29160000000000003</v>
      </c>
      <c r="G7" s="35">
        <f>D7^2</f>
        <v>2.2499999999999999E-2</v>
      </c>
      <c r="H7" s="855">
        <v>0.51</v>
      </c>
      <c r="I7" s="1190">
        <v>0.51089221417906872</v>
      </c>
      <c r="J7" s="1191">
        <f t="array" ref="J7">$B$13+MMULT(β,TRANSPOSE(K7:L7))+MMULT(MMULT(K7:L7,Λ),TRANSPOSE(K7:L7))</f>
        <v>0.51089221417906883</v>
      </c>
      <c r="K7" s="514">
        <v>5.7900974423834309E-2</v>
      </c>
      <c r="L7" s="37">
        <v>-0.55744728644130148</v>
      </c>
    </row>
    <row r="8" spans="1:12">
      <c r="A8" s="668">
        <v>6</v>
      </c>
      <c r="B8" s="448">
        <v>1</v>
      </c>
      <c r="C8" s="855">
        <v>-0.3</v>
      </c>
      <c r="D8" s="855">
        <v>-0.76</v>
      </c>
      <c r="E8" s="35">
        <f>C8*D8</f>
        <v>0.22799999999999998</v>
      </c>
      <c r="F8" s="35">
        <f>C8^2</f>
        <v>0.09</v>
      </c>
      <c r="G8" s="35">
        <f>D8^2</f>
        <v>0.5776</v>
      </c>
      <c r="H8" s="855">
        <v>1.0900000000000001</v>
      </c>
      <c r="I8" s="1190">
        <v>1.0872927641630601</v>
      </c>
      <c r="J8" s="1191">
        <f t="array" ref="J8">$B$13+MMULT(β,TRANSPOSE(K8:L8))+MMULT(MMULT(K8:L8,Λ),TRANSPOSE(K8:L8))</f>
        <v>1.0872927641630601</v>
      </c>
      <c r="K8" s="514">
        <v>0.79937041538689801</v>
      </c>
      <c r="L8" s="37">
        <v>0.16913585960457359</v>
      </c>
    </row>
    <row r="9" spans="1:12">
      <c r="A9" s="668">
        <v>7</v>
      </c>
      <c r="B9" s="448">
        <v>1</v>
      </c>
      <c r="C9" s="855">
        <v>0.47</v>
      </c>
      <c r="D9" s="855">
        <v>0.56999999999999995</v>
      </c>
      <c r="E9" s="35">
        <f>C9*D9</f>
        <v>0.26789999999999997</v>
      </c>
      <c r="F9" s="35">
        <f>C9^2</f>
        <v>0.22089999999999999</v>
      </c>
      <c r="G9" s="35">
        <f>D9^2</f>
        <v>0.32489999999999997</v>
      </c>
      <c r="H9" s="855">
        <v>1.33</v>
      </c>
      <c r="I9" s="1190">
        <v>1.3296517043628864</v>
      </c>
      <c r="J9" s="1191">
        <f t="array" ref="J9">$B$13+MMULT(β,TRANSPOSE(K9:L9))+MMULT(MMULT(K9:L9,Λ),TRANSPOSE(K9:L9))</f>
        <v>1.3296517043628866</v>
      </c>
      <c r="K9" s="514">
        <v>-0.64036158696342904</v>
      </c>
      <c r="L9" s="37">
        <v>-0.3684250777860793</v>
      </c>
    </row>
    <row r="10" spans="1:12">
      <c r="A10" s="668">
        <v>8</v>
      </c>
      <c r="B10" s="448">
        <v>1</v>
      </c>
      <c r="C10" s="855">
        <v>-0.75</v>
      </c>
      <c r="D10" s="855">
        <v>-0.32</v>
      </c>
      <c r="E10" s="35">
        <f>C10*D10</f>
        <v>0.24</v>
      </c>
      <c r="F10" s="35">
        <f>C10^2</f>
        <v>0.5625</v>
      </c>
      <c r="G10" s="35">
        <f>D10^2</f>
        <v>0.1024</v>
      </c>
      <c r="H10" s="855">
        <v>0.81</v>
      </c>
      <c r="I10" s="1190">
        <v>0.80798737474846771</v>
      </c>
      <c r="J10" s="1191">
        <f t="array" ref="J10">$B$13+MMULT(β,TRANSPOSE(K10:L10))+MMULT(MMULT(K10:L10,Λ),TRANSPOSE(K10:L10))</f>
        <v>0.80798737474846771</v>
      </c>
      <c r="K10" s="514">
        <v>0.44052551083220148</v>
      </c>
      <c r="L10" s="37">
        <v>0.6861758333736534</v>
      </c>
    </row>
    <row r="11" spans="1:12">
      <c r="A11" s="668">
        <v>9</v>
      </c>
      <c r="B11" s="448">
        <v>1</v>
      </c>
      <c r="C11" s="855">
        <v>-0.56999999999999995</v>
      </c>
      <c r="D11" s="855">
        <v>-0.72</v>
      </c>
      <c r="E11" s="35">
        <f>C11*D11</f>
        <v>0.41039999999999993</v>
      </c>
      <c r="F11" s="35">
        <f>C11^2</f>
        <v>0.32489999999999997</v>
      </c>
      <c r="G11" s="35">
        <f>D11^2</f>
        <v>0.51839999999999997</v>
      </c>
      <c r="H11" s="855">
        <v>1.07</v>
      </c>
      <c r="I11" s="1190">
        <v>1.0737244597368079</v>
      </c>
      <c r="J11" s="520">
        <f t="array" ref="J11">$B$13+MMULT(β,TRANSPOSE(K11:L11))+MMULT(MMULT(K11:L11,Λ),TRANSPOSE(K11:L11))</f>
        <v>1.0737244597368076</v>
      </c>
      <c r="K11" s="512">
        <v>0.80493038290107366</v>
      </c>
      <c r="L11" s="66">
        <v>0.44202610633618777</v>
      </c>
    </row>
    <row r="12" spans="1:12" ht="18.75">
      <c r="A12" s="567" t="s">
        <v>435</v>
      </c>
      <c r="B12" s="825"/>
      <c r="C12" s="649" t="s">
        <v>434</v>
      </c>
      <c r="D12" s="1189"/>
      <c r="E12" s="567" t="s">
        <v>433</v>
      </c>
      <c r="F12" s="1186"/>
      <c r="G12" s="649" t="s">
        <v>432</v>
      </c>
      <c r="H12" s="1189"/>
      <c r="I12" s="1188" t="s">
        <v>431</v>
      </c>
    </row>
    <row r="13" spans="1:12" ht="18.75">
      <c r="A13" s="670" t="s">
        <v>430</v>
      </c>
      <c r="B13" s="521">
        <f t="array" ref="B13:B18">MMULT([1]!PseudoInv(X),y)</f>
        <v>0.95271062322731592</v>
      </c>
      <c r="C13" s="873">
        <f>B14</f>
        <v>-0.276899122933839</v>
      </c>
      <c r="D13" s="847">
        <f>B15</f>
        <v>0.52528665311638134</v>
      </c>
      <c r="E13" s="773">
        <f t="array" ref="E13:F15">[1]!eigVECTSym(A)</f>
        <v>0.73649005694488356</v>
      </c>
      <c r="F13" s="136">
        <v>-0.69499835173739744</v>
      </c>
      <c r="G13" s="456">
        <f t="array" ref="G13:H13">MMULT(TRANSPOSE(α),K)</f>
        <v>-0.47178911111583188</v>
      </c>
      <c r="H13" s="93">
        <v>0.36057485610656781</v>
      </c>
      <c r="I13" s="1187">
        <f t="array" ref="I13">MMULT(TRANSPOSE(α),x_S)+MMULT(MMULT(TRANSPOSE(x_S),A),x_S)</f>
        <v>-2.878817968133951E-2</v>
      </c>
    </row>
    <row r="14" spans="1:12" ht="18.75">
      <c r="A14" s="669" t="s">
        <v>339</v>
      </c>
      <c r="B14" s="517">
        <v>-0.276899122933839</v>
      </c>
      <c r="C14" s="567" t="s">
        <v>0</v>
      </c>
      <c r="D14" s="1186"/>
      <c r="E14" s="523">
        <v>-0.16666847111532856</v>
      </c>
      <c r="F14" s="124">
        <v>-0.98601299217407812</v>
      </c>
      <c r="G14" s="567" t="s">
        <v>429</v>
      </c>
      <c r="H14" s="1186"/>
      <c r="I14" s="524" t="s">
        <v>428</v>
      </c>
    </row>
    <row r="15" spans="1:12" ht="18.75">
      <c r="A15" s="667" t="s">
        <v>341</v>
      </c>
      <c r="B15" s="64">
        <v>0.52528665311638134</v>
      </c>
      <c r="C15" s="523">
        <f>B17</f>
        <v>-0.65523392380911405</v>
      </c>
      <c r="D15" s="124">
        <f>B16/2</f>
        <v>0.235246908436128</v>
      </c>
      <c r="E15" s="512">
        <v>-0.98601299217407823</v>
      </c>
      <c r="F15" s="66">
        <v>0.16666847111532873</v>
      </c>
      <c r="G15" s="886">
        <f>E13</f>
        <v>0.73649005694488356</v>
      </c>
      <c r="H15" s="80">
        <v>0</v>
      </c>
      <c r="I15" s="118">
        <f t="array" ref="I15:I16">(-1/2*MMULT(MINVERSE(A),α))</f>
        <v>-0.30916184390306412</v>
      </c>
    </row>
    <row r="16" spans="1:12" ht="18.75">
      <c r="A16" s="670" t="s">
        <v>345</v>
      </c>
      <c r="B16" s="521">
        <v>0.470493816872256</v>
      </c>
      <c r="C16" s="512">
        <f>D15</f>
        <v>0.235246908436128</v>
      </c>
      <c r="D16" s="66">
        <f>B18</f>
        <v>0.69672562901660018</v>
      </c>
      <c r="G16" s="106">
        <v>0</v>
      </c>
      <c r="H16" s="520">
        <f>F13</f>
        <v>-0.69499835173739744</v>
      </c>
      <c r="I16" s="92">
        <v>-0.27258069843309463</v>
      </c>
    </row>
    <row r="17" spans="1:12" ht="18.75">
      <c r="A17" s="669" t="s">
        <v>427</v>
      </c>
      <c r="B17" s="517">
        <v>-0.65523392380911405</v>
      </c>
      <c r="E17" s="36"/>
      <c r="F17" s="36"/>
    </row>
    <row r="18" spans="1:12" ht="18.75">
      <c r="A18" s="667" t="s">
        <v>426</v>
      </c>
      <c r="B18" s="64">
        <v>0.69672562901660018</v>
      </c>
      <c r="E18" s="36"/>
      <c r="F18" s="36"/>
    </row>
    <row r="19" spans="1:12">
      <c r="B19" s="36"/>
      <c r="C19" s="1184"/>
      <c r="D19" s="1184"/>
      <c r="E19"/>
      <c r="F19" s="1184"/>
      <c r="G19"/>
      <c r="H19" s="1184"/>
      <c r="I19" s="1184"/>
      <c r="J19" s="1184"/>
      <c r="L19"/>
    </row>
    <row r="20" spans="1:12">
      <c r="A20"/>
      <c r="B20" s="1185"/>
      <c r="C20" s="1184"/>
      <c r="D20" s="1184"/>
      <c r="E20"/>
      <c r="F20" s="1184"/>
      <c r="H20" s="850"/>
      <c r="I20" s="850"/>
      <c r="J20" s="1184"/>
    </row>
    <row r="21" spans="1:12">
      <c r="A21"/>
      <c r="B21" s="1185"/>
      <c r="C21" s="1184"/>
      <c r="D21" s="1184"/>
      <c r="E21"/>
      <c r="F21" s="1184"/>
      <c r="H21" s="850"/>
      <c r="I21" s="850"/>
      <c r="J21" s="1184"/>
    </row>
    <row r="22" spans="1:12">
      <c r="A22"/>
      <c r="B22" s="1185"/>
      <c r="C22" s="1184"/>
      <c r="D22" s="1184"/>
      <c r="E22"/>
      <c r="F22" s="1184"/>
      <c r="H22" s="850"/>
      <c r="I22" s="850"/>
      <c r="J22" s="1184"/>
    </row>
    <row r="23" spans="1:12">
      <c r="B23" s="1185"/>
      <c r="C23" s="1184"/>
      <c r="D23" s="1184"/>
      <c r="F23" s="1184"/>
      <c r="H23" s="850"/>
      <c r="I23" s="850"/>
      <c r="J23" s="1184"/>
    </row>
    <row r="24" spans="1:12">
      <c r="B24" s="1185"/>
      <c r="C24" s="1184"/>
      <c r="D24" s="1184"/>
      <c r="F24" s="1184"/>
      <c r="H24" s="850"/>
      <c r="I24" s="850"/>
      <c r="J24" s="1184"/>
    </row>
    <row r="25" spans="1:12">
      <c r="B25" s="1185"/>
      <c r="C25" s="1184"/>
      <c r="D25" s="1184"/>
      <c r="F25" s="1184"/>
      <c r="H25" s="850"/>
      <c r="I25" s="850"/>
      <c r="J25" s="1184"/>
    </row>
    <row r="26" spans="1:12">
      <c r="B26" s="1185"/>
      <c r="C26" s="1184"/>
      <c r="D26" s="1184"/>
      <c r="F26" s="1184"/>
      <c r="H26" s="850"/>
      <c r="I26" s="850"/>
      <c r="J26" s="1184"/>
    </row>
    <row r="27" spans="1:12">
      <c r="B27" s="1185"/>
      <c r="C27" s="1184"/>
      <c r="D27" s="1184"/>
      <c r="F27" s="1184"/>
      <c r="H27" s="850"/>
      <c r="I27" s="850"/>
      <c r="J27" s="1184"/>
    </row>
  </sheetData>
  <mergeCells count="9">
    <mergeCell ref="K1:L1"/>
    <mergeCell ref="H1:J1"/>
    <mergeCell ref="C14:D14"/>
    <mergeCell ref="E12:F12"/>
    <mergeCell ref="G12:H12"/>
    <mergeCell ref="G14:H14"/>
    <mergeCell ref="B1:G1"/>
    <mergeCell ref="A12:B12"/>
    <mergeCell ref="C12:D1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E586-CFA7-47AC-A93B-2AB43D1931D1}">
  <dimension ref="A1:AB23"/>
  <sheetViews>
    <sheetView zoomScaleNormal="100" workbookViewId="0">
      <selection activeCell="L13" sqref="L13"/>
    </sheetView>
  </sheetViews>
  <sheetFormatPr defaultColWidth="6.875" defaultRowHeight="15.75"/>
  <cols>
    <col min="1" max="1" width="6.875" style="1"/>
    <col min="2" max="5" width="7" style="1" bestFit="1" customWidth="1"/>
    <col min="6" max="6" width="7.125" style="1" bestFit="1" customWidth="1"/>
    <col min="7" max="11" width="6.875" style="1" customWidth="1"/>
    <col min="12" max="12" width="6.875" style="1"/>
    <col min="13" max="16" width="6.875" style="1" customWidth="1"/>
    <col min="17" max="17" width="6.875" style="1"/>
    <col min="18" max="28" width="4.875" style="1" customWidth="1"/>
    <col min="29" max="16384" width="6.875" style="1"/>
  </cols>
  <sheetData>
    <row r="1" spans="1:28">
      <c r="A1" s="461"/>
      <c r="B1" s="782" t="s">
        <v>14</v>
      </c>
      <c r="C1" s="781"/>
      <c r="D1" s="781"/>
      <c r="E1" s="781"/>
      <c r="F1" s="780"/>
      <c r="G1" s="941" t="s">
        <v>423</v>
      </c>
      <c r="H1" s="781"/>
      <c r="I1" s="781"/>
      <c r="J1" s="781"/>
      <c r="K1" s="780"/>
      <c r="L1"/>
      <c r="M1"/>
      <c r="N1"/>
      <c r="O1"/>
    </row>
    <row r="2" spans="1:28" ht="19.5">
      <c r="A2" s="524" t="s">
        <v>10</v>
      </c>
      <c r="B2" s="7" t="s">
        <v>422</v>
      </c>
      <c r="C2" s="464" t="s">
        <v>421</v>
      </c>
      <c r="D2" s="464" t="s">
        <v>420</v>
      </c>
      <c r="E2" s="464" t="s">
        <v>419</v>
      </c>
      <c r="F2" s="454" t="s">
        <v>418</v>
      </c>
      <c r="G2" s="464" t="s">
        <v>417</v>
      </c>
      <c r="H2" s="464" t="s">
        <v>416</v>
      </c>
      <c r="I2" s="464" t="s">
        <v>415</v>
      </c>
      <c r="J2" s="464" t="s">
        <v>414</v>
      </c>
      <c r="K2" s="464" t="s">
        <v>413</v>
      </c>
      <c r="L2" s="524" t="s">
        <v>219</v>
      </c>
      <c r="M2" s="524" t="s">
        <v>397</v>
      </c>
      <c r="N2" s="524" t="s">
        <v>412</v>
      </c>
      <c r="O2" s="524" t="s">
        <v>411</v>
      </c>
      <c r="W2" s="511" t="s">
        <v>410</v>
      </c>
      <c r="X2" s="511" t="s">
        <v>409</v>
      </c>
      <c r="Y2" s="511" t="s">
        <v>408</v>
      </c>
      <c r="Z2" s="511" t="s">
        <v>407</v>
      </c>
      <c r="AA2" s="511" t="s">
        <v>406</v>
      </c>
    </row>
    <row r="3" spans="1:28">
      <c r="A3" s="130">
        <v>1</v>
      </c>
      <c r="B3" s="81">
        <v>1</v>
      </c>
      <c r="C3" s="88">
        <v>-4</v>
      </c>
      <c r="D3" s="88">
        <f>C3^2</f>
        <v>16</v>
      </c>
      <c r="E3" s="88">
        <f>C3^3</f>
        <v>-64</v>
      </c>
      <c r="F3" s="80">
        <f>C3^4</f>
        <v>256</v>
      </c>
      <c r="G3" s="88">
        <f t="array" ref="G3:K11">MMULT(X,MINVERSE(TRANSPOSE(L)))</f>
        <v>0.33333333333333331</v>
      </c>
      <c r="H3" s="88">
        <v>-0.5163977794943222</v>
      </c>
      <c r="I3" s="88">
        <v>0.53181602347831047</v>
      </c>
      <c r="J3" s="88">
        <v>-0.44494920831460982</v>
      </c>
      <c r="K3" s="80">
        <v>0.31289310938737147</v>
      </c>
      <c r="L3" s="517">
        <f>SIN(C3)+(C3^2)/2-5+COS(C3)</f>
        <v>3.1031588744443166</v>
      </c>
      <c r="M3" s="517">
        <f t="array" ref="M3:M11">MMULT(X,a)</f>
        <v>3.2327039680589573</v>
      </c>
      <c r="N3" s="517">
        <f t="array" ref="N3:N11">MMULT(W,b)</f>
        <v>3.2327039680589582</v>
      </c>
      <c r="O3" s="517">
        <f>L3-M3</f>
        <v>-0.12954509361464073</v>
      </c>
      <c r="R3" s="81">
        <v>1</v>
      </c>
      <c r="S3" s="88">
        <v>-4</v>
      </c>
      <c r="T3" s="88">
        <f>S3^2</f>
        <v>16</v>
      </c>
      <c r="U3" s="88">
        <f>S3^3</f>
        <v>-64</v>
      </c>
      <c r="V3" s="80">
        <f>S3^4</f>
        <v>256</v>
      </c>
      <c r="W3" s="81">
        <f t="array" ref="W3:AA23">MMULT(R3:V23,G19:K23)</f>
        <v>0.33333333333333331</v>
      </c>
      <c r="X3" s="88">
        <v>-0.5163977794943222</v>
      </c>
      <c r="Y3" s="88">
        <v>0.53181602347831047</v>
      </c>
      <c r="Z3" s="88">
        <v>-0.44494920831460982</v>
      </c>
      <c r="AA3" s="80">
        <v>0.31289310938737147</v>
      </c>
      <c r="AB3" s="1">
        <f t="array" ref="AB3:AB23">MMULT(R3:V23,a)</f>
        <v>3.2327039680589573</v>
      </c>
    </row>
    <row r="4" spans="1:28">
      <c r="A4" s="745">
        <v>2</v>
      </c>
      <c r="B4" s="455">
        <v>1</v>
      </c>
      <c r="C4" s="1">
        <v>-3</v>
      </c>
      <c r="D4" s="1">
        <f>C4^2</f>
        <v>9</v>
      </c>
      <c r="E4" s="1">
        <f>C4^3</f>
        <v>-27</v>
      </c>
      <c r="F4" s="90">
        <f>C4^4</f>
        <v>81</v>
      </c>
      <c r="G4" s="1">
        <v>0.33333333333333331</v>
      </c>
      <c r="H4" s="1">
        <v>-0.38729833462074165</v>
      </c>
      <c r="I4" s="1">
        <v>0.13295400586957756</v>
      </c>
      <c r="J4" s="1">
        <v>0.2224746041573048</v>
      </c>
      <c r="K4" s="90">
        <v>-0.46933966408105676</v>
      </c>
      <c r="L4" s="35">
        <f>SIN(C4)+(C4^2)/2-5+COS(C4)</f>
        <v>-1.6311125046603128</v>
      </c>
      <c r="M4" s="35">
        <v>-2.0087802853173051</v>
      </c>
      <c r="N4" s="35">
        <v>-2.0087802853173047</v>
      </c>
      <c r="O4" s="35">
        <f>L4-M4</f>
        <v>0.37766778065699236</v>
      </c>
      <c r="R4" s="455">
        <v>1</v>
      </c>
      <c r="S4" s="1">
        <f>S3+8/20</f>
        <v>-3.6</v>
      </c>
      <c r="T4" s="1">
        <f>S4^2</f>
        <v>12.96</v>
      </c>
      <c r="U4" s="1">
        <f>S4^3</f>
        <v>-46.656000000000006</v>
      </c>
      <c r="V4" s="90">
        <f>S4^4</f>
        <v>167.96160000000003</v>
      </c>
      <c r="W4" s="455">
        <v>0.33333333333333331</v>
      </c>
      <c r="X4" s="1">
        <v>-0.46475800154489</v>
      </c>
      <c r="Y4" s="1">
        <v>0.35859594725966076</v>
      </c>
      <c r="Z4" s="1">
        <v>-0.11060166035248886</v>
      </c>
      <c r="AA4" s="90">
        <v>-0.18376659304476561</v>
      </c>
      <c r="AB4" s="1">
        <v>0.65770883077641029</v>
      </c>
    </row>
    <row r="5" spans="1:28">
      <c r="A5" s="745">
        <v>3</v>
      </c>
      <c r="B5" s="455">
        <v>1</v>
      </c>
      <c r="C5" s="1">
        <v>-2</v>
      </c>
      <c r="D5" s="1">
        <f>C5^2</f>
        <v>4</v>
      </c>
      <c r="E5" s="1">
        <f>C5^3</f>
        <v>-8</v>
      </c>
      <c r="F5" s="90">
        <f>C5^4</f>
        <v>16</v>
      </c>
      <c r="G5" s="1">
        <v>0.33333333333333331</v>
      </c>
      <c r="H5" s="1">
        <v>-0.2581988897471611</v>
      </c>
      <c r="I5" s="1">
        <v>-0.15194743527951726</v>
      </c>
      <c r="J5" s="1">
        <v>0.41316712200642325</v>
      </c>
      <c r="K5" s="90">
        <v>-0.2458445859472202</v>
      </c>
      <c r="L5" s="35">
        <f>SIN(C5)+(C5^2)/2-5+COS(C5)</f>
        <v>-4.3254442633728241</v>
      </c>
      <c r="M5" s="35">
        <v>-4.1372216079008766</v>
      </c>
      <c r="N5" s="35">
        <v>-4.1372216079008766</v>
      </c>
      <c r="O5" s="35">
        <f>L5-M5</f>
        <v>-0.1882226554719475</v>
      </c>
      <c r="R5" s="455">
        <v>1</v>
      </c>
      <c r="S5" s="1">
        <f>S4+8/20</f>
        <v>-3.2</v>
      </c>
      <c r="T5" s="1">
        <f>S5^2</f>
        <v>10.240000000000002</v>
      </c>
      <c r="U5" s="1">
        <f>S5^3</f>
        <v>-32.768000000000008</v>
      </c>
      <c r="V5" s="90">
        <f>S5^4</f>
        <v>104.85760000000005</v>
      </c>
      <c r="W5" s="455">
        <v>0.33333333333333331</v>
      </c>
      <c r="X5" s="1">
        <v>-0.4131182235954578</v>
      </c>
      <c r="Y5" s="1">
        <v>0.20360956327455321</v>
      </c>
      <c r="Z5" s="1">
        <v>0.13221347904205516</v>
      </c>
      <c r="AA5" s="90">
        <v>-0.42388970499175982</v>
      </c>
      <c r="AB5" s="1">
        <v>-1.2605988107118717</v>
      </c>
    </row>
    <row r="6" spans="1:28">
      <c r="A6" s="745">
        <v>4</v>
      </c>
      <c r="B6" s="455">
        <v>1</v>
      </c>
      <c r="C6" s="1">
        <v>-1</v>
      </c>
      <c r="D6" s="1">
        <f>C6^2</f>
        <v>1</v>
      </c>
      <c r="E6" s="1">
        <f>C6^3</f>
        <v>-1</v>
      </c>
      <c r="F6" s="90">
        <f>C6^4</f>
        <v>1</v>
      </c>
      <c r="G6" s="1">
        <v>0.33333333333333331</v>
      </c>
      <c r="H6" s="1">
        <v>-0.12909944487358055</v>
      </c>
      <c r="I6" s="1">
        <v>-0.32288829996897417</v>
      </c>
      <c r="J6" s="1">
        <v>0.28603877677367762</v>
      </c>
      <c r="K6" s="90">
        <v>0.20114557032045316</v>
      </c>
      <c r="L6" s="35">
        <f>SIN(C6)+(C6^2)/2-5+COS(C6)</f>
        <v>-4.8011686789397565</v>
      </c>
      <c r="M6" s="35">
        <v>-4.51723996188265</v>
      </c>
      <c r="N6" s="35">
        <v>-4.5172399618826482</v>
      </c>
      <c r="O6" s="35">
        <f>L6-M6</f>
        <v>-0.28392871705710654</v>
      </c>
      <c r="R6" s="455">
        <v>1</v>
      </c>
      <c r="S6" s="1">
        <f>S5+8/20</f>
        <v>-2.8000000000000003</v>
      </c>
      <c r="T6" s="1">
        <f>S6^2</f>
        <v>7.8400000000000016</v>
      </c>
      <c r="U6" s="1">
        <f>S6^3</f>
        <v>-21.952000000000005</v>
      </c>
      <c r="V6" s="90">
        <f>S6^4</f>
        <v>61.465600000000023</v>
      </c>
      <c r="W6" s="455">
        <v>0.33333333333333331</v>
      </c>
      <c r="X6" s="1">
        <v>-0.36147844564602555</v>
      </c>
      <c r="Y6" s="1">
        <v>6.6856871522987693E-2</v>
      </c>
      <c r="Z6" s="1">
        <v>0.2936664774876423</v>
      </c>
      <c r="AA6" s="90">
        <v>-0.47556176705630282</v>
      </c>
      <c r="AB6" s="1">
        <v>-2.6337862432030814</v>
      </c>
    </row>
    <row r="7" spans="1:28">
      <c r="A7" s="745">
        <v>5</v>
      </c>
      <c r="B7" s="455">
        <v>1</v>
      </c>
      <c r="C7" s="1">
        <v>0</v>
      </c>
      <c r="D7" s="1">
        <f>C7^2</f>
        <v>0</v>
      </c>
      <c r="E7" s="1">
        <f>C7^3</f>
        <v>0</v>
      </c>
      <c r="F7" s="90">
        <f>C7^4</f>
        <v>0</v>
      </c>
      <c r="G7" s="1">
        <v>0.33333333333333331</v>
      </c>
      <c r="H7" s="1">
        <v>0</v>
      </c>
      <c r="I7" s="1">
        <v>-0.37986858819879316</v>
      </c>
      <c r="J7" s="1">
        <v>0</v>
      </c>
      <c r="K7" s="90">
        <v>0.40229114064090615</v>
      </c>
      <c r="L7" s="35">
        <f>SIN(C7)+(C7^2)/2-5+COS(C7)</f>
        <v>-4</v>
      </c>
      <c r="M7" s="35">
        <v>-4.0927676494365919</v>
      </c>
      <c r="N7" s="35">
        <v>-4.092767649436591</v>
      </c>
      <c r="O7" s="35">
        <f>L7-M7</f>
        <v>9.2767649436591881E-2</v>
      </c>
      <c r="R7" s="455">
        <v>1</v>
      </c>
      <c r="S7" s="1">
        <f>S6+8/20</f>
        <v>-2.4000000000000004</v>
      </c>
      <c r="T7" s="1">
        <f>S7^2</f>
        <v>5.7600000000000016</v>
      </c>
      <c r="U7" s="1">
        <f>S7^3</f>
        <v>-13.824000000000005</v>
      </c>
      <c r="V7" s="90">
        <f>S7^4</f>
        <v>33.17760000000002</v>
      </c>
      <c r="W7" s="455">
        <v>0.33333333333333331</v>
      </c>
      <c r="X7" s="1">
        <v>-0.30983866769659335</v>
      </c>
      <c r="Y7" s="1">
        <v>-5.1662127995035778E-2</v>
      </c>
      <c r="Z7" s="1">
        <v>0.38392760260289172</v>
      </c>
      <c r="AA7" s="90">
        <v>-0.39885825624077009</v>
      </c>
      <c r="AB7" s="1">
        <v>-3.5626511493979747</v>
      </c>
    </row>
    <row r="8" spans="1:28">
      <c r="A8" s="745">
        <v>6</v>
      </c>
      <c r="B8" s="455">
        <v>1</v>
      </c>
      <c r="C8" s="1">
        <v>1</v>
      </c>
      <c r="D8" s="1">
        <f>C8^2</f>
        <v>1</v>
      </c>
      <c r="E8" s="1">
        <f>C8^3</f>
        <v>1</v>
      </c>
      <c r="F8" s="90">
        <f>C8^4</f>
        <v>1</v>
      </c>
      <c r="G8" s="1">
        <v>0.33333333333333331</v>
      </c>
      <c r="H8" s="1">
        <v>0.12909944487358055</v>
      </c>
      <c r="I8" s="1">
        <v>-0.32288829996897417</v>
      </c>
      <c r="J8" s="1">
        <v>-0.28603877677367762</v>
      </c>
      <c r="K8" s="90">
        <v>0.20114557032045316</v>
      </c>
      <c r="L8" s="35">
        <f>SIN(C8)+(C8^2)/2-5+COS(C8)</f>
        <v>-3.1182267093239635</v>
      </c>
      <c r="M8" s="35">
        <v>-3.3870493127197534</v>
      </c>
      <c r="N8" s="35">
        <v>-3.3870493127197521</v>
      </c>
      <c r="O8" s="35">
        <f>L8-M8</f>
        <v>0.26882260339578989</v>
      </c>
      <c r="R8" s="455">
        <v>1</v>
      </c>
      <c r="S8" s="1">
        <f>S7+8/20</f>
        <v>-2.0000000000000004</v>
      </c>
      <c r="T8" s="1">
        <f>S8^2</f>
        <v>4.0000000000000018</v>
      </c>
      <c r="U8" s="1">
        <f>S8^3</f>
        <v>-8.0000000000000053</v>
      </c>
      <c r="V8" s="90">
        <f>S8^4</f>
        <v>16.000000000000014</v>
      </c>
      <c r="W8" s="455">
        <v>0.33333333333333331</v>
      </c>
      <c r="X8" s="1">
        <v>-0.25819888974716115</v>
      </c>
      <c r="Y8" s="1">
        <v>-0.15194743527951715</v>
      </c>
      <c r="Z8" s="1">
        <v>0.41316712200642325</v>
      </c>
      <c r="AA8" s="90">
        <v>-0.24584458594722033</v>
      </c>
      <c r="AB8" s="1">
        <v>-4.1372216079008766</v>
      </c>
    </row>
    <row r="9" spans="1:28">
      <c r="A9" s="745">
        <v>7</v>
      </c>
      <c r="B9" s="455">
        <v>1</v>
      </c>
      <c r="C9" s="1">
        <v>2</v>
      </c>
      <c r="D9" s="1">
        <f>C9^2</f>
        <v>4</v>
      </c>
      <c r="E9" s="1">
        <f>C9^3</f>
        <v>8</v>
      </c>
      <c r="F9" s="90">
        <f>C9^4</f>
        <v>16</v>
      </c>
      <c r="G9" s="1">
        <v>0.33333333333333331</v>
      </c>
      <c r="H9" s="1">
        <v>0.2581988897471611</v>
      </c>
      <c r="I9" s="1">
        <v>-0.15194743527951726</v>
      </c>
      <c r="J9" s="1">
        <v>-0.41316712200642325</v>
      </c>
      <c r="K9" s="90">
        <v>-0.2458445859472202</v>
      </c>
      <c r="L9" s="35">
        <f>SIN(C9)+(C9^2)/2-5+COS(C9)</f>
        <v>-2.5068494097214606</v>
      </c>
      <c r="M9" s="35">
        <v>-2.5026419338722645</v>
      </c>
      <c r="N9" s="35">
        <v>-2.5026419338722645</v>
      </c>
      <c r="O9" s="35">
        <f>L9-M9</f>
        <v>-4.2074758491961184E-3</v>
      </c>
      <c r="R9" s="455">
        <v>1</v>
      </c>
      <c r="S9" s="1">
        <f>S8+8/20</f>
        <v>-1.6000000000000005</v>
      </c>
      <c r="T9" s="1">
        <f>S9^2</f>
        <v>2.5600000000000018</v>
      </c>
      <c r="U9" s="1">
        <f>S9^3</f>
        <v>-4.0960000000000045</v>
      </c>
      <c r="V9" s="90">
        <f>S9^4</f>
        <v>6.5536000000000092</v>
      </c>
      <c r="W9" s="455">
        <v>0.33333333333333331</v>
      </c>
      <c r="X9" s="1">
        <v>-0.20655911179772896</v>
      </c>
      <c r="Y9" s="1">
        <v>-0.23399905033045648</v>
      </c>
      <c r="Z9" s="1">
        <v>0.39155530331685651</v>
      </c>
      <c r="AA9" s="90">
        <v>-6.0576105977395212E-2</v>
      </c>
      <c r="AB9" s="1">
        <v>-4.4367560932196817</v>
      </c>
    </row>
    <row r="10" spans="1:28">
      <c r="A10" s="745">
        <v>8</v>
      </c>
      <c r="B10" s="455">
        <v>1</v>
      </c>
      <c r="C10" s="1">
        <v>3</v>
      </c>
      <c r="D10" s="1">
        <f>C10^2</f>
        <v>9</v>
      </c>
      <c r="E10" s="1">
        <f>C10^3</f>
        <v>27</v>
      </c>
      <c r="F10" s="90">
        <f>C10^4</f>
        <v>81</v>
      </c>
      <c r="G10" s="1">
        <v>0.33333333333333331</v>
      </c>
      <c r="H10" s="1">
        <v>0.38729833462074165</v>
      </c>
      <c r="I10" s="1">
        <v>0.13295400586957756</v>
      </c>
      <c r="J10" s="1">
        <v>-0.2224746041573048</v>
      </c>
      <c r="K10" s="90">
        <v>-0.46933966408105676</v>
      </c>
      <c r="L10" s="35">
        <f>SIN(C10)+(C10^2)/2-5+COS(C10)</f>
        <v>-1.3488724885405781</v>
      </c>
      <c r="M10" s="35">
        <v>-1.1214148350173367</v>
      </c>
      <c r="N10" s="35">
        <v>-1.1214148350173372</v>
      </c>
      <c r="O10" s="35">
        <f>L10-M10</f>
        <v>-0.22745765352324132</v>
      </c>
      <c r="R10" s="455">
        <v>1</v>
      </c>
      <c r="S10" s="1">
        <f>S9+8/20</f>
        <v>-1.2000000000000006</v>
      </c>
      <c r="T10" s="1">
        <f>S10^2</f>
        <v>1.4400000000000015</v>
      </c>
      <c r="U10" s="1">
        <f>S10^3</f>
        <v>-1.7280000000000026</v>
      </c>
      <c r="V10" s="90">
        <f>S10^4</f>
        <v>2.0736000000000043</v>
      </c>
      <c r="W10" s="455">
        <v>0.33333333333333331</v>
      </c>
      <c r="X10" s="1">
        <v>-0.15491933384829673</v>
      </c>
      <c r="Y10" s="1">
        <v>-0.29781697314785371</v>
      </c>
      <c r="Z10" s="1">
        <v>0.32926241415281132</v>
      </c>
      <c r="AA10" s="90">
        <v>0.12090189746728014</v>
      </c>
      <c r="AB10" s="1">
        <v>-4.5297434757658452</v>
      </c>
    </row>
    <row r="11" spans="1:28">
      <c r="A11" s="67">
        <v>9</v>
      </c>
      <c r="B11" s="106">
        <v>1</v>
      </c>
      <c r="C11" s="76">
        <v>4</v>
      </c>
      <c r="D11" s="76">
        <f>C11^2</f>
        <v>16</v>
      </c>
      <c r="E11" s="76">
        <f>C11^3</f>
        <v>64</v>
      </c>
      <c r="F11" s="77">
        <f>C11^4</f>
        <v>256</v>
      </c>
      <c r="G11" s="76">
        <v>0.33333333333333331</v>
      </c>
      <c r="H11" s="76">
        <v>0.5163977794943222</v>
      </c>
      <c r="I11" s="76">
        <v>0.53181602347831047</v>
      </c>
      <c r="J11" s="76">
        <v>0.44494920831460982</v>
      </c>
      <c r="K11" s="77">
        <v>0.31289310938737147</v>
      </c>
      <c r="L11" s="64">
        <f>SIN(C11)+(C11^2)/2-5+COS(C11)</f>
        <v>1.5895538838284597</v>
      </c>
      <c r="M11" s="64">
        <v>1.4954503217387383</v>
      </c>
      <c r="N11" s="64">
        <v>1.4954503217387383</v>
      </c>
      <c r="O11" s="64">
        <f>L11-M11</f>
        <v>9.4103562089721482E-2</v>
      </c>
      <c r="R11" s="455">
        <v>1</v>
      </c>
      <c r="S11" s="1">
        <f>S10+8/20</f>
        <v>-0.8000000000000006</v>
      </c>
      <c r="T11" s="1">
        <f>S11^2</f>
        <v>0.64000000000000101</v>
      </c>
      <c r="U11" s="1">
        <f>S11^3</f>
        <v>-0.51200000000000123</v>
      </c>
      <c r="V11" s="90">
        <f>S11^4</f>
        <v>0.4096000000000013</v>
      </c>
      <c r="W11" s="455">
        <v>0.33333333333333331</v>
      </c>
      <c r="X11" s="1">
        <v>-0.10327955589886452</v>
      </c>
      <c r="Y11" s="1">
        <v>-0.34340120373170896</v>
      </c>
      <c r="Z11" s="1">
        <v>0.236458722132907</v>
      </c>
      <c r="AA11" s="90">
        <v>0.27055420178569722</v>
      </c>
      <c r="AB11" s="1">
        <v>-4.4739030218543956</v>
      </c>
    </row>
    <row r="12" spans="1:28" ht="18.75">
      <c r="A12" s="742" t="s">
        <v>404</v>
      </c>
      <c r="B12" s="782" t="s">
        <v>35</v>
      </c>
      <c r="C12" s="781"/>
      <c r="D12" s="781"/>
      <c r="E12" s="781"/>
      <c r="F12" s="781"/>
      <c r="G12" s="782" t="s">
        <v>425</v>
      </c>
      <c r="H12" s="781"/>
      <c r="I12" s="781"/>
      <c r="J12" s="781"/>
      <c r="K12" s="780"/>
      <c r="M12" s="524" t="s">
        <v>39</v>
      </c>
      <c r="N12" s="524" t="s">
        <v>386</v>
      </c>
      <c r="R12" s="455">
        <v>1</v>
      </c>
      <c r="S12" s="1">
        <f>S11+8/20</f>
        <v>-0.40000000000000058</v>
      </c>
      <c r="T12" s="1">
        <f>S12^2</f>
        <v>0.16000000000000048</v>
      </c>
      <c r="U12" s="1">
        <f>S12^3</f>
        <v>-6.4000000000000279E-2</v>
      </c>
      <c r="V12" s="90">
        <f>S12^4</f>
        <v>2.560000000000015E-2</v>
      </c>
      <c r="W12" s="455">
        <v>0.33333333333333331</v>
      </c>
      <c r="X12" s="1">
        <v>-5.1639777949432294E-2</v>
      </c>
      <c r="Y12" s="1">
        <v>-0.37075174208202211</v>
      </c>
      <c r="Z12" s="1">
        <v>0.12331449487576342</v>
      </c>
      <c r="AA12" s="90">
        <v>0.36835564797706427</v>
      </c>
      <c r="AB12" s="1">
        <v>-4.3161843937039253</v>
      </c>
    </row>
    <row r="13" spans="1:28">
      <c r="A13" s="130">
        <v>0</v>
      </c>
      <c r="B13" s="81">
        <f t="array" ref="B13:F17">MMULT(TRANSPOSE(X),X)</f>
        <v>9</v>
      </c>
      <c r="C13" s="88">
        <v>0</v>
      </c>
      <c r="D13" s="88">
        <v>60</v>
      </c>
      <c r="E13" s="88">
        <v>0</v>
      </c>
      <c r="F13" s="80">
        <v>708</v>
      </c>
      <c r="G13" s="81">
        <f t="array" ref="G13:K17">MMULT(L,TRANSPOSE(L))</f>
        <v>9</v>
      </c>
      <c r="H13" s="88">
        <v>0</v>
      </c>
      <c r="I13" s="88">
        <v>60</v>
      </c>
      <c r="J13" s="88">
        <v>0</v>
      </c>
      <c r="K13" s="80">
        <v>708</v>
      </c>
      <c r="M13" s="517">
        <f t="array" ref="M13:M17">MMULT([1]!PseudoInv(X),y)</f>
        <v>-4.0927676494365919</v>
      </c>
      <c r="N13" s="517">
        <f t="array" ref="N13:N17">MMULT(TRANSPOSE(L),a)</f>
        <v>-5.6796537654496939</v>
      </c>
      <c r="R13" s="455">
        <v>1</v>
      </c>
      <c r="S13" s="1">
        <f>S12+8/20</f>
        <v>-5.5511151231257827E-16</v>
      </c>
      <c r="T13" s="1">
        <f>S13^2</f>
        <v>3.0814879110195774E-31</v>
      </c>
      <c r="U13" s="1">
        <f>S13^3</f>
        <v>-1.7105694144590052E-46</v>
      </c>
      <c r="V13" s="90">
        <f>S13^4</f>
        <v>9.4955677457597987E-62</v>
      </c>
      <c r="W13" s="455">
        <v>0.33333333333333331</v>
      </c>
      <c r="X13" s="1">
        <v>-7.1664588082487622E-17</v>
      </c>
      <c r="Y13" s="1">
        <v>-0.37986858819879316</v>
      </c>
      <c r="Z13" s="1">
        <v>1.734855862840314E-16</v>
      </c>
      <c r="AA13" s="90">
        <v>0.40229114064090615</v>
      </c>
      <c r="AB13" s="1">
        <v>-4.0927676494365919</v>
      </c>
    </row>
    <row r="14" spans="1:28">
      <c r="A14" s="745">
        <v>1</v>
      </c>
      <c r="B14" s="455">
        <v>0</v>
      </c>
      <c r="C14" s="1">
        <v>60</v>
      </c>
      <c r="D14" s="1">
        <v>0</v>
      </c>
      <c r="E14" s="1">
        <v>708</v>
      </c>
      <c r="F14" s="90">
        <v>0</v>
      </c>
      <c r="G14" s="455">
        <v>0</v>
      </c>
      <c r="H14" s="1">
        <v>60.000000000000007</v>
      </c>
      <c r="I14" s="1">
        <v>0</v>
      </c>
      <c r="J14" s="1">
        <v>708</v>
      </c>
      <c r="K14" s="90">
        <v>0</v>
      </c>
      <c r="M14" s="35">
        <v>0.61724545993954671</v>
      </c>
      <c r="N14" s="35">
        <v>1.4514878168691681E-2</v>
      </c>
      <c r="R14" s="455">
        <v>1</v>
      </c>
      <c r="S14" s="1">
        <f>S13+8/20</f>
        <v>0.39999999999999947</v>
      </c>
      <c r="T14" s="1">
        <f>S14^2</f>
        <v>0.15999999999999959</v>
      </c>
      <c r="U14" s="1">
        <f>S14^3</f>
        <v>6.3999999999999752E-2</v>
      </c>
      <c r="V14" s="90">
        <f>S14^4</f>
        <v>2.5599999999999869E-2</v>
      </c>
      <c r="W14" s="455">
        <v>0.33333333333333331</v>
      </c>
      <c r="X14" s="1">
        <v>5.1639777949432149E-2</v>
      </c>
      <c r="Y14" s="1">
        <v>-0.37075174208202216</v>
      </c>
      <c r="Z14" s="1">
        <v>-0.1233144948757631</v>
      </c>
      <c r="AA14" s="90">
        <v>0.36835564797706444</v>
      </c>
      <c r="AB14" s="1">
        <v>-3.8290632430781244</v>
      </c>
    </row>
    <row r="15" spans="1:28">
      <c r="A15" s="745">
        <v>2</v>
      </c>
      <c r="B15" s="455">
        <v>60</v>
      </c>
      <c r="C15" s="1">
        <v>0</v>
      </c>
      <c r="D15" s="1">
        <v>708</v>
      </c>
      <c r="E15" s="1">
        <v>0</v>
      </c>
      <c r="F15" s="90">
        <v>9780</v>
      </c>
      <c r="G15" s="455">
        <v>60</v>
      </c>
      <c r="H15" s="1">
        <v>0</v>
      </c>
      <c r="I15" s="1">
        <v>708</v>
      </c>
      <c r="J15" s="1">
        <v>0</v>
      </c>
      <c r="K15" s="90">
        <v>9780</v>
      </c>
      <c r="M15" s="35">
        <v>0.12309435963468526</v>
      </c>
      <c r="N15" s="35">
        <v>7.2141628633251678</v>
      </c>
      <c r="R15" s="455">
        <v>1</v>
      </c>
      <c r="S15" s="1">
        <f>S14+8/20</f>
        <v>0.79999999999999949</v>
      </c>
      <c r="T15" s="1">
        <f>S15^2</f>
        <v>0.63999999999999924</v>
      </c>
      <c r="U15" s="1">
        <f>S15^3</f>
        <v>0.51199999999999901</v>
      </c>
      <c r="V15" s="90">
        <f>S15^4</f>
        <v>0.40959999999999902</v>
      </c>
      <c r="W15" s="455">
        <v>0.33333333333333331</v>
      </c>
      <c r="X15" s="1">
        <v>0.10327955589886437</v>
      </c>
      <c r="Y15" s="1">
        <v>-0.34340120373170907</v>
      </c>
      <c r="Z15" s="1">
        <v>-0.23645872213290672</v>
      </c>
      <c r="AA15" s="90">
        <v>0.27055420178569761</v>
      </c>
      <c r="AB15" s="1">
        <v>-3.5397120245578138</v>
      </c>
    </row>
    <row r="16" spans="1:28">
      <c r="A16" s="745">
        <v>3</v>
      </c>
      <c r="B16" s="455">
        <v>0</v>
      </c>
      <c r="C16" s="1">
        <v>708</v>
      </c>
      <c r="D16" s="1">
        <v>0</v>
      </c>
      <c r="E16" s="1">
        <v>9780</v>
      </c>
      <c r="F16" s="90">
        <v>0</v>
      </c>
      <c r="G16" s="455">
        <v>0</v>
      </c>
      <c r="H16" s="1">
        <v>708</v>
      </c>
      <c r="I16" s="1">
        <v>0</v>
      </c>
      <c r="J16" s="1">
        <v>9780</v>
      </c>
      <c r="K16" s="90">
        <v>0</v>
      </c>
      <c r="M16" s="35">
        <v>-5.2150135358098385E-2</v>
      </c>
      <c r="N16" s="35">
        <v>-1.969038842286408</v>
      </c>
      <c r="R16" s="455">
        <v>1</v>
      </c>
      <c r="S16" s="1">
        <f>S15+8/20</f>
        <v>1.1999999999999995</v>
      </c>
      <c r="T16" s="1">
        <f>S16^2</f>
        <v>1.4399999999999988</v>
      </c>
      <c r="U16" s="1">
        <f>S16^3</f>
        <v>1.727999999999998</v>
      </c>
      <c r="V16" s="90">
        <f>S16^4</f>
        <v>2.0735999999999968</v>
      </c>
      <c r="W16" s="455">
        <v>0.33333333333333331</v>
      </c>
      <c r="X16" s="1">
        <v>0.15491933384829659</v>
      </c>
      <c r="Y16" s="1">
        <v>-0.29781697314785388</v>
      </c>
      <c r="Z16" s="1">
        <v>-0.32926241415281104</v>
      </c>
      <c r="AA16" s="90">
        <v>0.12090189746728065</v>
      </c>
      <c r="AB16" s="1">
        <v>-3.2285852397085217</v>
      </c>
    </row>
    <row r="17" spans="1:28">
      <c r="A17" s="67">
        <v>4</v>
      </c>
      <c r="B17" s="455">
        <v>708</v>
      </c>
      <c r="C17" s="1">
        <v>0</v>
      </c>
      <c r="D17" s="1">
        <v>9780</v>
      </c>
      <c r="E17" s="1">
        <v>0</v>
      </c>
      <c r="F17" s="90">
        <v>144708</v>
      </c>
      <c r="G17" s="106">
        <v>708</v>
      </c>
      <c r="H17" s="76">
        <v>0</v>
      </c>
      <c r="I17" s="76">
        <v>9780</v>
      </c>
      <c r="J17" s="76">
        <v>0</v>
      </c>
      <c r="K17" s="77">
        <v>144708</v>
      </c>
      <c r="M17" s="64">
        <v>1.7528652500704983E-2</v>
      </c>
      <c r="N17" s="64">
        <v>1.3445091866695449</v>
      </c>
      <c r="R17" s="455">
        <v>1</v>
      </c>
      <c r="S17" s="1">
        <f>S16+8/20</f>
        <v>1.5999999999999996</v>
      </c>
      <c r="T17" s="1">
        <f>S17^2</f>
        <v>2.5599999999999987</v>
      </c>
      <c r="U17" s="1">
        <f>S17^3</f>
        <v>4.0959999999999974</v>
      </c>
      <c r="V17" s="90">
        <f>S17^4</f>
        <v>6.5535999999999932</v>
      </c>
      <c r="W17" s="455">
        <v>0.33333333333333331</v>
      </c>
      <c r="X17" s="1">
        <v>0.20655911179772884</v>
      </c>
      <c r="Y17" s="1">
        <v>-0.23399905033045665</v>
      </c>
      <c r="Z17" s="1">
        <v>-0.39155530331685651</v>
      </c>
      <c r="AA17" s="90">
        <v>-6.0576105977394754E-2</v>
      </c>
      <c r="AB17" s="1">
        <v>-2.8887845302666739</v>
      </c>
    </row>
    <row r="18" spans="1:28" ht="18.75">
      <c r="A18" s="742" t="s">
        <v>404</v>
      </c>
      <c r="B18" s="567" t="s">
        <v>254</v>
      </c>
      <c r="C18" s="568"/>
      <c r="D18" s="568"/>
      <c r="E18" s="568"/>
      <c r="F18" s="570"/>
      <c r="G18" s="567" t="s">
        <v>424</v>
      </c>
      <c r="H18" s="568"/>
      <c r="I18" s="568"/>
      <c r="J18" s="568"/>
      <c r="K18" s="570"/>
      <c r="L18" s="782" t="s">
        <v>402</v>
      </c>
      <c r="M18" s="781"/>
      <c r="N18" s="781"/>
      <c r="O18" s="781"/>
      <c r="P18" s="780"/>
      <c r="R18" s="455">
        <v>1</v>
      </c>
      <c r="S18" s="1">
        <f>S17+8/20</f>
        <v>1.9999999999999996</v>
      </c>
      <c r="T18" s="1">
        <f>S18^2</f>
        <v>3.9999999999999982</v>
      </c>
      <c r="U18" s="1">
        <f>S18^3</f>
        <v>7.9999999999999947</v>
      </c>
      <c r="V18" s="90">
        <f>S18^4</f>
        <v>15.999999999999986</v>
      </c>
      <c r="W18" s="455">
        <v>0.33333333333333331</v>
      </c>
      <c r="X18" s="1">
        <v>0.25819888974716104</v>
      </c>
      <c r="Y18" s="1">
        <v>-0.15194743527951737</v>
      </c>
      <c r="Z18" s="1">
        <v>-0.41316712200642325</v>
      </c>
      <c r="AA18" s="90">
        <v>-0.24584458594722006</v>
      </c>
      <c r="AB18" s="1">
        <v>-2.5026419338722654</v>
      </c>
    </row>
    <row r="19" spans="1:28">
      <c r="A19" s="130">
        <v>0</v>
      </c>
      <c r="B19" s="81">
        <f t="array" ref="B19:F23">[1]!CHOL(B13:F17)</f>
        <v>3</v>
      </c>
      <c r="C19" s="88">
        <v>0</v>
      </c>
      <c r="D19" s="88">
        <v>0</v>
      </c>
      <c r="E19" s="88">
        <v>0</v>
      </c>
      <c r="F19" s="80">
        <v>0</v>
      </c>
      <c r="G19" s="81">
        <f t="array" ref="G19:K23">MINVERSE(TRANSPOSE(L))</f>
        <v>0.33333333333333331</v>
      </c>
      <c r="H19" s="88">
        <v>0</v>
      </c>
      <c r="I19" s="88">
        <v>-0.37986858819879316</v>
      </c>
      <c r="J19" s="88">
        <v>0</v>
      </c>
      <c r="K19" s="80">
        <v>0.40229114064090615</v>
      </c>
      <c r="L19" s="81">
        <f t="array" ref="L19:P23">MMULT(TRANSPOSE(W),W)</f>
        <v>1.0000000000000002</v>
      </c>
      <c r="M19" s="88">
        <v>-2.7755575615628914E-17</v>
      </c>
      <c r="N19" s="88">
        <v>0</v>
      </c>
      <c r="O19" s="88">
        <v>0</v>
      </c>
      <c r="P19" s="80">
        <v>5.134781488891349E-16</v>
      </c>
      <c r="R19" s="455">
        <v>1</v>
      </c>
      <c r="S19" s="1">
        <f>S18+8/20</f>
        <v>2.3999999999999995</v>
      </c>
      <c r="T19" s="1">
        <f>S19^2</f>
        <v>5.7599999999999971</v>
      </c>
      <c r="U19" s="1">
        <f>S19^3</f>
        <v>13.823999999999989</v>
      </c>
      <c r="V19" s="90">
        <f>S19^4</f>
        <v>33.17759999999997</v>
      </c>
      <c r="W19" s="455">
        <v>0.33333333333333331</v>
      </c>
      <c r="X19" s="1">
        <v>0.30983866769659324</v>
      </c>
      <c r="Y19" s="1">
        <v>-5.1662127995036056E-2</v>
      </c>
      <c r="Z19" s="1">
        <v>-0.38392760260289188</v>
      </c>
      <c r="AA19" s="90">
        <v>-0.39885825624076987</v>
      </c>
      <c r="AB19" s="1">
        <v>-2.041719884068856</v>
      </c>
    </row>
    <row r="20" spans="1:28">
      <c r="A20" s="745">
        <v>1</v>
      </c>
      <c r="B20" s="455">
        <v>0</v>
      </c>
      <c r="C20" s="1">
        <v>7.745966692414834</v>
      </c>
      <c r="D20" s="1">
        <v>0</v>
      </c>
      <c r="E20" s="1">
        <v>0</v>
      </c>
      <c r="F20" s="90">
        <v>0</v>
      </c>
      <c r="G20" s="455">
        <v>0</v>
      </c>
      <c r="H20" s="1">
        <v>0.12909944487358055</v>
      </c>
      <c r="I20" s="1">
        <v>0</v>
      </c>
      <c r="J20" s="1">
        <v>-0.31252384869716632</v>
      </c>
      <c r="K20" s="90">
        <v>0</v>
      </c>
      <c r="L20" s="455">
        <v>-2.7755575615628914E-17</v>
      </c>
      <c r="M20" s="1">
        <v>0.99999999999999978</v>
      </c>
      <c r="N20" s="1">
        <v>0</v>
      </c>
      <c r="O20" s="1">
        <v>1.6653345369377348E-16</v>
      </c>
      <c r="P20" s="90">
        <v>0</v>
      </c>
      <c r="R20" s="455">
        <v>1</v>
      </c>
      <c r="S20" s="1">
        <f>S19+8/20</f>
        <v>2.7999999999999994</v>
      </c>
      <c r="T20" s="1">
        <f>S20^2</f>
        <v>7.8399999999999963</v>
      </c>
      <c r="U20" s="1">
        <f>S20^3</f>
        <v>21.951999999999984</v>
      </c>
      <c r="V20" s="90">
        <f>S20^4</f>
        <v>61.465599999999945</v>
      </c>
      <c r="W20" s="455">
        <v>0.33333333333333331</v>
      </c>
      <c r="X20" s="1">
        <v>0.36147844564602544</v>
      </c>
      <c r="Y20" s="1">
        <v>6.685687152298736E-2</v>
      </c>
      <c r="Z20" s="1">
        <v>-0.29366647748764263</v>
      </c>
      <c r="AA20" s="90">
        <v>-0.47556176705630271</v>
      </c>
      <c r="AB20" s="1">
        <v>-1.4668112103035731</v>
      </c>
    </row>
    <row r="21" spans="1:28">
      <c r="A21" s="745">
        <v>2</v>
      </c>
      <c r="B21" s="455">
        <v>20</v>
      </c>
      <c r="C21" s="1">
        <v>0</v>
      </c>
      <c r="D21" s="1">
        <v>17.549928774784245</v>
      </c>
      <c r="E21" s="1">
        <v>0</v>
      </c>
      <c r="F21" s="90">
        <v>0</v>
      </c>
      <c r="G21" s="455">
        <v>0</v>
      </c>
      <c r="H21" s="1">
        <v>0</v>
      </c>
      <c r="I21" s="1">
        <v>5.6980288229818973E-2</v>
      </c>
      <c r="J21" s="1">
        <v>0</v>
      </c>
      <c r="K21" s="90">
        <v>-0.21418278321159348</v>
      </c>
      <c r="L21" s="455">
        <v>0</v>
      </c>
      <c r="M21" s="1">
        <v>0</v>
      </c>
      <c r="N21" s="1">
        <v>1</v>
      </c>
      <c r="O21" s="1">
        <v>0</v>
      </c>
      <c r="P21" s="90">
        <v>1.1102230246251565E-16</v>
      </c>
      <c r="R21" s="455">
        <v>1</v>
      </c>
      <c r="S21" s="1">
        <f>S20+8/20</f>
        <v>3.1999999999999993</v>
      </c>
      <c r="T21" s="1">
        <f>S21^2</f>
        <v>10.239999999999995</v>
      </c>
      <c r="U21" s="1">
        <f>S21^3</f>
        <v>32.767999999999979</v>
      </c>
      <c r="V21" s="90">
        <f>S21^4</f>
        <v>104.85759999999989</v>
      </c>
      <c r="W21" s="455">
        <v>0.33333333333333331</v>
      </c>
      <c r="X21" s="1">
        <v>0.41311822359545769</v>
      </c>
      <c r="Y21" s="1">
        <v>0.20360956327455287</v>
      </c>
      <c r="Z21" s="1">
        <v>-0.13221347904205571</v>
      </c>
      <c r="AA21" s="90">
        <v>-0.42388970499176004</v>
      </c>
      <c r="AB21" s="1">
        <v>-0.72793913792711207</v>
      </c>
    </row>
    <row r="22" spans="1:28">
      <c r="A22" s="745">
        <v>3</v>
      </c>
      <c r="B22" s="455">
        <v>0</v>
      </c>
      <c r="C22" s="1">
        <v>91.402406970495036</v>
      </c>
      <c r="D22" s="1">
        <v>0</v>
      </c>
      <c r="E22" s="1">
        <v>37.75711853412546</v>
      </c>
      <c r="F22" s="90">
        <v>0</v>
      </c>
      <c r="G22" s="455">
        <v>0</v>
      </c>
      <c r="H22" s="1">
        <v>0</v>
      </c>
      <c r="I22" s="1">
        <v>0</v>
      </c>
      <c r="J22" s="1">
        <v>2.6485071923488673E-2</v>
      </c>
      <c r="K22" s="90">
        <v>0</v>
      </c>
      <c r="L22" s="455">
        <v>0</v>
      </c>
      <c r="M22" s="1">
        <v>1.6653345369377348E-16</v>
      </c>
      <c r="N22" s="1">
        <v>0</v>
      </c>
      <c r="O22" s="1">
        <v>0.99999999999999989</v>
      </c>
      <c r="P22" s="90">
        <v>0</v>
      </c>
      <c r="R22" s="455">
        <v>1</v>
      </c>
      <c r="S22" s="1">
        <f>S21+8/20</f>
        <v>3.5999999999999992</v>
      </c>
      <c r="T22" s="1">
        <f>S22^2</f>
        <v>12.959999999999994</v>
      </c>
      <c r="U22" s="1">
        <f>S22^3</f>
        <v>46.65599999999997</v>
      </c>
      <c r="V22" s="90">
        <f>S22^4</f>
        <v>167.96159999999983</v>
      </c>
      <c r="W22" s="455">
        <v>0.33333333333333331</v>
      </c>
      <c r="X22" s="1">
        <v>0.46475800154488989</v>
      </c>
      <c r="Y22" s="1">
        <v>0.35859594725966043</v>
      </c>
      <c r="Z22" s="1">
        <v>0.11060166035248842</v>
      </c>
      <c r="AA22" s="90">
        <v>-0.18376659304476695</v>
      </c>
      <c r="AB22" s="1">
        <v>0.23564271180626628</v>
      </c>
    </row>
    <row r="23" spans="1:28">
      <c r="A23" s="67">
        <v>4</v>
      </c>
      <c r="B23" s="106">
        <v>236</v>
      </c>
      <c r="C23" s="76">
        <v>0</v>
      </c>
      <c r="D23" s="76">
        <v>288.32025844288398</v>
      </c>
      <c r="E23" s="76">
        <v>0</v>
      </c>
      <c r="F23" s="77">
        <v>76.703510815533036</v>
      </c>
      <c r="G23" s="106">
        <v>0</v>
      </c>
      <c r="H23" s="76">
        <v>0</v>
      </c>
      <c r="I23" s="76">
        <v>0</v>
      </c>
      <c r="J23" s="76">
        <v>0</v>
      </c>
      <c r="K23" s="77">
        <v>1.3037212891140473E-2</v>
      </c>
      <c r="L23" s="106">
        <v>5.134781488891349E-16</v>
      </c>
      <c r="M23" s="76">
        <v>0</v>
      </c>
      <c r="N23" s="76">
        <v>1.1102230246251565E-16</v>
      </c>
      <c r="O23" s="76">
        <v>0</v>
      </c>
      <c r="P23" s="77">
        <v>0.99999999999999589</v>
      </c>
      <c r="R23" s="106">
        <v>1</v>
      </c>
      <c r="S23" s="76">
        <f>S22+8/20</f>
        <v>3.9999999999999991</v>
      </c>
      <c r="T23" s="76">
        <f>S23^2</f>
        <v>15.999999999999993</v>
      </c>
      <c r="U23" s="76">
        <f>S23^3</f>
        <v>63.999999999999957</v>
      </c>
      <c r="V23" s="77">
        <f>S23^4</f>
        <v>255.99999999999977</v>
      </c>
      <c r="W23" s="106">
        <v>0.33333333333333331</v>
      </c>
      <c r="X23" s="76">
        <v>0.51639777949432208</v>
      </c>
      <c r="Y23" s="76">
        <v>0.53181602347831003</v>
      </c>
      <c r="Z23" s="76">
        <v>0.44494920831460893</v>
      </c>
      <c r="AA23" s="77">
        <v>0.31289310938736969</v>
      </c>
      <c r="AB23" s="1">
        <v>1.4954503217387356</v>
      </c>
    </row>
  </sheetData>
  <mergeCells count="7">
    <mergeCell ref="L18:P18"/>
    <mergeCell ref="B1:F1"/>
    <mergeCell ref="G1:K1"/>
    <mergeCell ref="B12:F12"/>
    <mergeCell ref="B18:F18"/>
    <mergeCell ref="G12:K12"/>
    <mergeCell ref="G18:K18"/>
  </mergeCells>
  <conditionalFormatting sqref="L19:P23">
    <cfRule type="cellIs" dxfId="48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80FB-034D-4546-B4B9-DDFC5E8C9F49}">
  <dimension ref="A1:AB23"/>
  <sheetViews>
    <sheetView topLeftCell="I1" zoomScaleNormal="100" workbookViewId="0">
      <selection activeCell="R1" sqref="R1:AI1048576"/>
    </sheetView>
  </sheetViews>
  <sheetFormatPr defaultColWidth="6.875" defaultRowHeight="15.75"/>
  <cols>
    <col min="1" max="1" width="6.875" style="1"/>
    <col min="2" max="5" width="7" style="1" bestFit="1" customWidth="1"/>
    <col min="6" max="6" width="7.125" style="1" bestFit="1" customWidth="1"/>
    <col min="7" max="7" width="7.375" style="1" bestFit="1" customWidth="1"/>
    <col min="8" max="10" width="7.5" style="1" bestFit="1" customWidth="1"/>
    <col min="11" max="11" width="7.375" style="1" bestFit="1" customWidth="1"/>
    <col min="12" max="12" width="13.125" style="1" bestFit="1" customWidth="1"/>
    <col min="13" max="17" width="6.875" style="1" customWidth="1"/>
    <col min="18" max="28" width="4.875" style="1" customWidth="1"/>
    <col min="29" max="16384" width="6.875" style="1"/>
  </cols>
  <sheetData>
    <row r="1" spans="1:28">
      <c r="B1" s="985" t="s">
        <v>14</v>
      </c>
      <c r="C1" s="984"/>
      <c r="D1" s="984"/>
      <c r="E1" s="984"/>
      <c r="F1" s="983"/>
      <c r="G1" s="1183" t="s">
        <v>423</v>
      </c>
      <c r="H1" s="984"/>
      <c r="I1" s="984"/>
      <c r="J1" s="984"/>
      <c r="K1" s="983"/>
      <c r="O1"/>
    </row>
    <row r="2" spans="1:28" ht="19.5">
      <c r="A2" s="756" t="s">
        <v>10</v>
      </c>
      <c r="B2" s="2" t="s">
        <v>422</v>
      </c>
      <c r="C2" s="807" t="s">
        <v>421</v>
      </c>
      <c r="D2" s="807" t="s">
        <v>420</v>
      </c>
      <c r="E2" s="807" t="s">
        <v>419</v>
      </c>
      <c r="F2" s="796" t="s">
        <v>418</v>
      </c>
      <c r="G2" s="807" t="s">
        <v>417</v>
      </c>
      <c r="H2" s="807" t="s">
        <v>416</v>
      </c>
      <c r="I2" s="807" t="s">
        <v>415</v>
      </c>
      <c r="J2" s="807" t="s">
        <v>414</v>
      </c>
      <c r="K2" s="807" t="s">
        <v>413</v>
      </c>
      <c r="L2" s="756" t="s">
        <v>219</v>
      </c>
      <c r="M2" s="756" t="s">
        <v>397</v>
      </c>
      <c r="N2" s="756" t="s">
        <v>412</v>
      </c>
      <c r="O2" s="756" t="s">
        <v>411</v>
      </c>
      <c r="W2" s="511" t="s">
        <v>410</v>
      </c>
      <c r="X2" s="511" t="s">
        <v>409</v>
      </c>
      <c r="Y2" s="511" t="s">
        <v>408</v>
      </c>
      <c r="Z2" s="511" t="s">
        <v>407</v>
      </c>
      <c r="AA2" s="511" t="s">
        <v>406</v>
      </c>
    </row>
    <row r="3" spans="1:28">
      <c r="A3" s="518">
        <v>1</v>
      </c>
      <c r="B3" s="81">
        <v>1</v>
      </c>
      <c r="C3" s="88">
        <v>-4</v>
      </c>
      <c r="D3" s="88">
        <f>C3^2</f>
        <v>16</v>
      </c>
      <c r="E3" s="88">
        <f>C3^3</f>
        <v>-64</v>
      </c>
      <c r="F3" s="80">
        <f>C3^4</f>
        <v>256</v>
      </c>
      <c r="G3" s="522">
        <f t="array" ref="G3:K11">MMULT(X,MINVERSE(L))</f>
        <v>1.6896274735316519E-2</v>
      </c>
      <c r="H3" s="522">
        <v>0.16818126881643192</v>
      </c>
      <c r="I3" s="522">
        <v>-0.15188089700660257</v>
      </c>
      <c r="J3" s="522">
        <v>-0.66057666130870873</v>
      </c>
      <c r="K3" s="124">
        <v>0.68446197912376938</v>
      </c>
      <c r="L3" s="517">
        <f>SIN(C3)+(C3^2)/2-5+COS(C3)</f>
        <v>3.1031588744443166</v>
      </c>
      <c r="M3" s="517">
        <f t="array" ref="M3:M11">MMULT(X,a)</f>
        <v>3.2327039680589573</v>
      </c>
      <c r="N3" s="517">
        <f t="array" ref="N3:N11">MMULT(W,b)</f>
        <v>3.2327039680589564</v>
      </c>
      <c r="O3" s="517">
        <f>L3-M3</f>
        <v>-0.12954509361464073</v>
      </c>
      <c r="R3" s="81">
        <v>1</v>
      </c>
      <c r="S3" s="88">
        <v>-4</v>
      </c>
      <c r="T3" s="88">
        <f>S3^2</f>
        <v>16</v>
      </c>
      <c r="U3" s="88">
        <f>S3^3</f>
        <v>-64</v>
      </c>
      <c r="V3" s="80">
        <f>S3^4</f>
        <v>256</v>
      </c>
      <c r="W3" s="81">
        <f t="array" ref="W3:AA23">MMULT(R3:V23,G19:K23)</f>
        <v>1.6896274735316519E-2</v>
      </c>
      <c r="X3" s="88">
        <v>0.16818126881643192</v>
      </c>
      <c r="Y3" s="88">
        <v>-0.15188089700660257</v>
      </c>
      <c r="Z3" s="88">
        <v>-0.66057666130870873</v>
      </c>
      <c r="AA3" s="80">
        <v>0.68446197912376938</v>
      </c>
      <c r="AB3" s="1">
        <f t="array" ref="AB3:AB23">MMULT(R3:V23,a)</f>
        <v>3.2327039680589573</v>
      </c>
    </row>
    <row r="4" spans="1:28">
      <c r="A4" s="515">
        <v>2</v>
      </c>
      <c r="B4" s="455">
        <v>1</v>
      </c>
      <c r="C4" s="1">
        <v>-3</v>
      </c>
      <c r="D4" s="1">
        <f>C4^2</f>
        <v>9</v>
      </c>
      <c r="E4" s="1">
        <f>C4^3</f>
        <v>-27</v>
      </c>
      <c r="F4" s="90">
        <f>C4^4</f>
        <v>81</v>
      </c>
      <c r="G4" s="36">
        <v>-8.7113326417742332E-2</v>
      </c>
      <c r="H4" s="36">
        <v>-0.37176332373280874</v>
      </c>
      <c r="I4" s="36">
        <v>0.556966801053699</v>
      </c>
      <c r="J4" s="36">
        <v>-0.24756207428054072</v>
      </c>
      <c r="K4" s="37">
        <v>0.1768243477353898</v>
      </c>
      <c r="L4" s="35">
        <f>SIN(C4)+(C4^2)/2-5+COS(C4)</f>
        <v>-1.6311125046603128</v>
      </c>
      <c r="M4" s="35">
        <v>-2.0087802853173051</v>
      </c>
      <c r="N4" s="35">
        <v>-2.0087802853173047</v>
      </c>
      <c r="O4" s="35">
        <f>L4-M4</f>
        <v>0.37766778065699236</v>
      </c>
      <c r="R4" s="455">
        <v>1</v>
      </c>
      <c r="S4" s="1">
        <f>S3+8/20</f>
        <v>-3.6</v>
      </c>
      <c r="T4" s="1">
        <f>S4^2</f>
        <v>12.96</v>
      </c>
      <c r="U4" s="1">
        <f>S4^3</f>
        <v>-46.656000000000006</v>
      </c>
      <c r="V4" s="90">
        <f>S4^4</f>
        <v>167.96160000000003</v>
      </c>
      <c r="W4" s="455">
        <v>-9.9574030743264763E-2</v>
      </c>
      <c r="X4" s="1">
        <v>-0.10811350898793171</v>
      </c>
      <c r="Y4" s="1">
        <v>0.28985133117898476</v>
      </c>
      <c r="Z4" s="1">
        <v>-0.46534309541137869</v>
      </c>
      <c r="AA4" s="90">
        <v>0.42372578802423511</v>
      </c>
      <c r="AB4" s="1">
        <v>0.65770883077641029</v>
      </c>
    </row>
    <row r="5" spans="1:28">
      <c r="A5" s="515">
        <v>3</v>
      </c>
      <c r="B5" s="455">
        <v>1</v>
      </c>
      <c r="C5" s="1">
        <v>-2</v>
      </c>
      <c r="D5" s="1">
        <f>C5^2</f>
        <v>4</v>
      </c>
      <c r="E5" s="1">
        <f>C5^3</f>
        <v>-8</v>
      </c>
      <c r="F5" s="90">
        <f>C5^4</f>
        <v>16</v>
      </c>
      <c r="G5" s="36">
        <v>0.19395904126853408</v>
      </c>
      <c r="H5" s="36">
        <v>-0.48493710884336416</v>
      </c>
      <c r="I5" s="36">
        <v>0.39597299231188698</v>
      </c>
      <c r="J5" s="36">
        <v>-4.7007848710364855E-2</v>
      </c>
      <c r="K5" s="37">
        <v>1.4965771228244114E-2</v>
      </c>
      <c r="L5" s="35">
        <f>SIN(C5)+(C5^2)/2-5+COS(C5)</f>
        <v>-4.3254442633728241</v>
      </c>
      <c r="M5" s="35">
        <v>-4.1372216079008766</v>
      </c>
      <c r="N5" s="35">
        <v>-4.1372216079008783</v>
      </c>
      <c r="O5" s="35">
        <f>L5-M5</f>
        <v>-0.1882226554719475</v>
      </c>
      <c r="R5" s="455">
        <v>1</v>
      </c>
      <c r="S5" s="1">
        <f>S4+8/20</f>
        <v>-3.2</v>
      </c>
      <c r="T5" s="1">
        <f>S5^2</f>
        <v>10.240000000000002</v>
      </c>
      <c r="U5" s="1">
        <f>S5^3</f>
        <v>-32.768000000000008</v>
      </c>
      <c r="V5" s="90">
        <f>S5^4</f>
        <v>104.85760000000005</v>
      </c>
      <c r="W5" s="455">
        <v>-0.11099141094947507</v>
      </c>
      <c r="X5" s="1">
        <v>-0.30246829176406786</v>
      </c>
      <c r="Y5" s="1">
        <v>0.51083650465928376</v>
      </c>
      <c r="Z5" s="1">
        <v>-0.31090191891398311</v>
      </c>
      <c r="AA5" s="90">
        <v>0.242852670499833</v>
      </c>
      <c r="AB5" s="1">
        <v>-1.2605988107118717</v>
      </c>
    </row>
    <row r="6" spans="1:28">
      <c r="A6" s="515">
        <v>4</v>
      </c>
      <c r="B6" s="455">
        <v>1</v>
      </c>
      <c r="C6" s="1">
        <v>-1</v>
      </c>
      <c r="D6" s="1">
        <f>C6^2</f>
        <v>1</v>
      </c>
      <c r="E6" s="1">
        <f>C6^3</f>
        <v>-1</v>
      </c>
      <c r="F6" s="90">
        <f>C6^4</f>
        <v>1</v>
      </c>
      <c r="G6" s="36">
        <v>0.50474843785568457</v>
      </c>
      <c r="H6" s="36">
        <v>-0.31359702232812958</v>
      </c>
      <c r="I6" s="36">
        <v>3.2451269838560233E-2</v>
      </c>
      <c r="J6" s="36">
        <v>1.1906135887816258E-2</v>
      </c>
      <c r="K6" s="37">
        <v>-1.8534820250787685E-3</v>
      </c>
      <c r="L6" s="35">
        <f>SIN(C6)+(C6^2)/2-5+COS(C6)</f>
        <v>-4.8011686789397565</v>
      </c>
      <c r="M6" s="35">
        <v>-4.51723996188265</v>
      </c>
      <c r="N6" s="35">
        <v>-4.5172399618826518</v>
      </c>
      <c r="O6" s="35">
        <f>L6-M6</f>
        <v>-0.28392871705710654</v>
      </c>
      <c r="R6" s="455">
        <v>1</v>
      </c>
      <c r="S6" s="1">
        <f>S5+8/20</f>
        <v>-2.8000000000000003</v>
      </c>
      <c r="T6" s="1">
        <f>S6^2</f>
        <v>7.8400000000000016</v>
      </c>
      <c r="U6" s="1">
        <f>S6^3</f>
        <v>-21.952000000000005</v>
      </c>
      <c r="V6" s="90">
        <f>S6^4</f>
        <v>61.465600000000023</v>
      </c>
      <c r="W6" s="455">
        <v>-4.8286830255557689E-2</v>
      </c>
      <c r="X6" s="1">
        <v>-0.42398752340400181</v>
      </c>
      <c r="Y6" s="1">
        <v>0.56915759857515991</v>
      </c>
      <c r="Z6" s="1">
        <v>-0.19272064410541814</v>
      </c>
      <c r="AA6" s="90">
        <v>0.12437024030971301</v>
      </c>
      <c r="AB6" s="1">
        <v>-2.6337862432030814</v>
      </c>
    </row>
    <row r="7" spans="1:28">
      <c r="A7" s="515">
        <v>5</v>
      </c>
      <c r="B7" s="455">
        <v>1</v>
      </c>
      <c r="C7" s="1">
        <v>0</v>
      </c>
      <c r="D7" s="1">
        <f>C7^2</f>
        <v>0</v>
      </c>
      <c r="E7" s="1">
        <f>C7^3</f>
        <v>0</v>
      </c>
      <c r="F7" s="90">
        <f>C7^4</f>
        <v>0</v>
      </c>
      <c r="G7" s="36">
        <v>0.63203589938063209</v>
      </c>
      <c r="H7" s="36">
        <v>0</v>
      </c>
      <c r="I7" s="36">
        <v>-0.13321021052392193</v>
      </c>
      <c r="J7" s="36">
        <v>0</v>
      </c>
      <c r="K7" s="37">
        <v>5.922748998974354E-3</v>
      </c>
      <c r="L7" s="35">
        <f>SIN(C7)+(C7^2)/2-5+COS(C7)</f>
        <v>-4</v>
      </c>
      <c r="M7" s="35">
        <v>-4.0927676494365919</v>
      </c>
      <c r="N7" s="35">
        <v>-4.0927676494365937</v>
      </c>
      <c r="O7" s="35">
        <f>L7-M7</f>
        <v>9.2767649436591881E-2</v>
      </c>
      <c r="R7" s="455">
        <v>1</v>
      </c>
      <c r="S7" s="1">
        <f>S6+8/20</f>
        <v>-2.4000000000000004</v>
      </c>
      <c r="T7" s="1">
        <f>S7^2</f>
        <v>5.7600000000000016</v>
      </c>
      <c r="U7" s="1">
        <f>S7^3</f>
        <v>-13.824000000000005</v>
      </c>
      <c r="V7" s="90">
        <f>S7^4</f>
        <v>33.17760000000002</v>
      </c>
      <c r="W7" s="455">
        <v>6.12476839512133E-2</v>
      </c>
      <c r="X7" s="1">
        <v>-0.48177564779975884</v>
      </c>
      <c r="Y7" s="1">
        <v>0.51606429687443467</v>
      </c>
      <c r="Z7" s="1">
        <v>-0.10626678327458003</v>
      </c>
      <c r="AA7" s="90">
        <v>5.2861686064890265E-2</v>
      </c>
      <c r="AB7" s="1">
        <v>-3.5626511493979747</v>
      </c>
    </row>
    <row r="8" spans="1:28">
      <c r="A8" s="515">
        <v>6</v>
      </c>
      <c r="B8" s="455">
        <v>1</v>
      </c>
      <c r="C8" s="1">
        <v>1</v>
      </c>
      <c r="D8" s="1">
        <f>C8^2</f>
        <v>1</v>
      </c>
      <c r="E8" s="1">
        <f>C8^3</f>
        <v>1</v>
      </c>
      <c r="F8" s="90">
        <f>C8^4</f>
        <v>1</v>
      </c>
      <c r="G8" s="36">
        <v>0.50474843785568457</v>
      </c>
      <c r="H8" s="36">
        <v>0.31359702232812958</v>
      </c>
      <c r="I8" s="36">
        <v>3.2451269838560233E-2</v>
      </c>
      <c r="J8" s="36">
        <v>-1.1906135887816258E-2</v>
      </c>
      <c r="K8" s="37">
        <v>-1.8534820250787685E-3</v>
      </c>
      <c r="L8" s="35">
        <f>SIN(C8)+(C8^2)/2-5+COS(C8)</f>
        <v>-3.1182267093239635</v>
      </c>
      <c r="M8" s="35">
        <v>-3.3870493127197534</v>
      </c>
      <c r="N8" s="35">
        <v>-3.3870493127197547</v>
      </c>
      <c r="O8" s="35">
        <f>L8-M8</f>
        <v>0.26882260339578989</v>
      </c>
      <c r="R8" s="455">
        <v>1</v>
      </c>
      <c r="S8" s="1">
        <f>S7+8/20</f>
        <v>-2.0000000000000004</v>
      </c>
      <c r="T8" s="1">
        <f>S8^2</f>
        <v>4.0000000000000018</v>
      </c>
      <c r="U8" s="1">
        <f>S8^3</f>
        <v>-8.0000000000000053</v>
      </c>
      <c r="V8" s="90">
        <f>S8^4</f>
        <v>16.000000000000014</v>
      </c>
      <c r="W8" s="455">
        <v>0.19395904126853394</v>
      </c>
      <c r="X8" s="1">
        <v>-0.48493710884336411</v>
      </c>
      <c r="Y8" s="1">
        <v>0.39597299231188715</v>
      </c>
      <c r="Z8" s="1">
        <v>-4.7007848710364911E-2</v>
      </c>
      <c r="AA8" s="90">
        <v>1.4965771228244142E-2</v>
      </c>
      <c r="AB8" s="1">
        <v>-4.1372216079008766</v>
      </c>
    </row>
    <row r="9" spans="1:28">
      <c r="A9" s="515">
        <v>7</v>
      </c>
      <c r="B9" s="455">
        <v>1</v>
      </c>
      <c r="C9" s="1">
        <v>2</v>
      </c>
      <c r="D9" s="1">
        <f>C9^2</f>
        <v>4</v>
      </c>
      <c r="E9" s="1">
        <f>C9^3</f>
        <v>8</v>
      </c>
      <c r="F9" s="90">
        <f>C9^4</f>
        <v>16</v>
      </c>
      <c r="G9" s="36">
        <v>0.19395904126853408</v>
      </c>
      <c r="H9" s="36">
        <v>0.48493710884336416</v>
      </c>
      <c r="I9" s="36">
        <v>0.39597299231188698</v>
      </c>
      <c r="J9" s="36">
        <v>4.7007848710364855E-2</v>
      </c>
      <c r="K9" s="37">
        <v>1.4965771228244114E-2</v>
      </c>
      <c r="L9" s="35">
        <f>SIN(C9)+(C9^2)/2-5+COS(C9)</f>
        <v>-2.5068494097214606</v>
      </c>
      <c r="M9" s="35">
        <v>-2.5026419338722645</v>
      </c>
      <c r="N9" s="35">
        <v>-2.502641933872265</v>
      </c>
      <c r="O9" s="35">
        <f>L9-M9</f>
        <v>-4.2074758491961184E-3</v>
      </c>
      <c r="R9" s="455">
        <v>1</v>
      </c>
      <c r="S9" s="1">
        <f>S8+8/20</f>
        <v>-1.6000000000000005</v>
      </c>
      <c r="T9" s="1">
        <f>S9^2</f>
        <v>2.5600000000000018</v>
      </c>
      <c r="U9" s="1">
        <f>S9^3</f>
        <v>-4.0960000000000045</v>
      </c>
      <c r="V9" s="90">
        <f>S9^4</f>
        <v>6.5536000000000092</v>
      </c>
      <c r="W9" s="455">
        <v>0.3298330882790701</v>
      </c>
      <c r="X9" s="1">
        <v>-0.44257635042684301</v>
      </c>
      <c r="Y9" s="1">
        <v>0.24646678644925357</v>
      </c>
      <c r="Z9" s="1">
        <v>-1.041135270166893E-2</v>
      </c>
      <c r="AA9" s="90">
        <v>-6.2316588548113477E-4</v>
      </c>
      <c r="AB9" s="1">
        <v>-4.4367560932196817</v>
      </c>
    </row>
    <row r="10" spans="1:28">
      <c r="A10" s="515">
        <v>8</v>
      </c>
      <c r="B10" s="455">
        <v>1</v>
      </c>
      <c r="C10" s="1">
        <v>3</v>
      </c>
      <c r="D10" s="1">
        <f>C10^2</f>
        <v>9</v>
      </c>
      <c r="E10" s="1">
        <f>C10^3</f>
        <v>27</v>
      </c>
      <c r="F10" s="90">
        <f>C10^4</f>
        <v>81</v>
      </c>
      <c r="G10" s="36">
        <v>-8.7113326417742332E-2</v>
      </c>
      <c r="H10" s="36">
        <v>0.37176332373280874</v>
      </c>
      <c r="I10" s="36">
        <v>0.556966801053699</v>
      </c>
      <c r="J10" s="36">
        <v>0.24756207428054072</v>
      </c>
      <c r="K10" s="37">
        <v>0.1768243477353898</v>
      </c>
      <c r="L10" s="35">
        <f>SIN(C10)+(C10^2)/2-5+COS(C10)</f>
        <v>-1.3488724885405781</v>
      </c>
      <c r="M10" s="35">
        <v>-1.1214148350173367</v>
      </c>
      <c r="N10" s="35">
        <v>-1.1214148350173374</v>
      </c>
      <c r="O10" s="35">
        <f>L10-M10</f>
        <v>-0.22745765352324132</v>
      </c>
      <c r="R10" s="455">
        <v>1</v>
      </c>
      <c r="S10" s="1">
        <f>S9+8/20</f>
        <v>-1.2000000000000006</v>
      </c>
      <c r="T10" s="1">
        <f>S10^2</f>
        <v>1.4400000000000015</v>
      </c>
      <c r="U10" s="1">
        <f>S10^3</f>
        <v>-1.7280000000000026</v>
      </c>
      <c r="V10" s="90">
        <f>S10^4</f>
        <v>2.0736000000000043</v>
      </c>
      <c r="W10" s="455">
        <v>0.45249460855045759</v>
      </c>
      <c r="X10" s="1">
        <v>-0.36379781644222087</v>
      </c>
      <c r="Y10" s="1">
        <v>9.8295489655227081E-2</v>
      </c>
      <c r="Z10" s="1">
        <v>8.0551924626117224E-3</v>
      </c>
      <c r="AA10" s="90">
        <v>-3.1552121096766811E-3</v>
      </c>
      <c r="AB10" s="1">
        <v>-4.5297434757658452</v>
      </c>
    </row>
    <row r="11" spans="1:28">
      <c r="A11" s="513">
        <v>9</v>
      </c>
      <c r="B11" s="106">
        <v>1</v>
      </c>
      <c r="C11" s="76">
        <v>4</v>
      </c>
      <c r="D11" s="76">
        <f>C11^2</f>
        <v>16</v>
      </c>
      <c r="E11" s="76">
        <f>C11^3</f>
        <v>64</v>
      </c>
      <c r="F11" s="77">
        <f>C11^4</f>
        <v>256</v>
      </c>
      <c r="G11" s="65">
        <v>1.6896274735316519E-2</v>
      </c>
      <c r="H11" s="65">
        <v>-0.16818126881643192</v>
      </c>
      <c r="I11" s="65">
        <v>-0.15188089700660257</v>
      </c>
      <c r="J11" s="65">
        <v>0.66057666130870873</v>
      </c>
      <c r="K11" s="66">
        <v>0.68446197912376938</v>
      </c>
      <c r="L11" s="64">
        <f>SIN(C11)+(C11^2)/2-5+COS(C11)</f>
        <v>1.5895538838284597</v>
      </c>
      <c r="M11" s="64">
        <v>1.4954503217387383</v>
      </c>
      <c r="N11" s="64">
        <v>1.4954503217387367</v>
      </c>
      <c r="O11" s="64">
        <f>L11-M11</f>
        <v>9.4103562089721482E-2</v>
      </c>
      <c r="R11" s="455">
        <v>1</v>
      </c>
      <c r="S11" s="1">
        <f>S10+8/20</f>
        <v>-0.8000000000000006</v>
      </c>
      <c r="T11" s="1">
        <f>S11^2</f>
        <v>0.64000000000000101</v>
      </c>
      <c r="U11" s="1">
        <f>S11^3</f>
        <v>-0.51200000000000123</v>
      </c>
      <c r="V11" s="90">
        <f>S11^4</f>
        <v>0.4096000000000013</v>
      </c>
      <c r="W11" s="455">
        <v>0.54920732263530181</v>
      </c>
      <c r="X11" s="1">
        <v>-0.25770595078152275</v>
      </c>
      <c r="Y11" s="1">
        <v>-2.4624378894542075E-2</v>
      </c>
      <c r="Z11" s="1">
        <v>1.2924274493580881E-2</v>
      </c>
      <c r="AA11" s="90">
        <v>1.7512057413108986E-4</v>
      </c>
      <c r="AB11" s="1">
        <v>-4.4739030218543956</v>
      </c>
    </row>
    <row r="12" spans="1:28" ht="18.75">
      <c r="A12" s="511" t="s">
        <v>404</v>
      </c>
      <c r="B12" s="985" t="s">
        <v>35</v>
      </c>
      <c r="C12" s="984"/>
      <c r="D12" s="984"/>
      <c r="E12" s="984"/>
      <c r="F12" s="984"/>
      <c r="G12" s="985" t="s">
        <v>405</v>
      </c>
      <c r="H12" s="984"/>
      <c r="I12" s="984"/>
      <c r="J12" s="984"/>
      <c r="K12" s="983"/>
      <c r="M12" s="756" t="s">
        <v>39</v>
      </c>
      <c r="N12" s="756" t="s">
        <v>386</v>
      </c>
      <c r="R12" s="455">
        <v>1</v>
      </c>
      <c r="S12" s="1">
        <f>S11+8/20</f>
        <v>-0.40000000000000058</v>
      </c>
      <c r="T12" s="1">
        <f>S12^2</f>
        <v>0.16000000000000048</v>
      </c>
      <c r="U12" s="1">
        <f>S12^3</f>
        <v>-6.4000000000000279E-2</v>
      </c>
      <c r="V12" s="90">
        <f>S12^4</f>
        <v>2.560000000000015E-2</v>
      </c>
      <c r="W12" s="455">
        <v>0.61087388807117826</v>
      </c>
      <c r="X12" s="1">
        <v>-0.13340519733677414</v>
      </c>
      <c r="Y12" s="1">
        <v>-0.10520959121744655</v>
      </c>
      <c r="Z12" s="1">
        <v>8.7283811023423676E-3</v>
      </c>
      <c r="AA12" s="90">
        <v>4.228895036280449E-3</v>
      </c>
      <c r="AB12" s="1">
        <v>-4.3161843937039253</v>
      </c>
    </row>
    <row r="13" spans="1:28">
      <c r="A13" s="518">
        <v>0</v>
      </c>
      <c r="B13" s="81">
        <f t="array" ref="B13:F17">MMULT(TRANSPOSE(X),X)</f>
        <v>9</v>
      </c>
      <c r="C13" s="88">
        <v>0</v>
      </c>
      <c r="D13" s="88">
        <v>60</v>
      </c>
      <c r="E13" s="88">
        <v>0</v>
      </c>
      <c r="F13" s="80">
        <v>708</v>
      </c>
      <c r="G13" s="81">
        <f t="array" ref="G13:K17">MMULT(L,L)</f>
        <v>9.0000000000001545</v>
      </c>
      <c r="H13" s="88">
        <v>0</v>
      </c>
      <c r="I13" s="88">
        <v>60.00000000000118</v>
      </c>
      <c r="J13" s="88">
        <v>0</v>
      </c>
      <c r="K13" s="80">
        <v>708.00000000001819</v>
      </c>
      <c r="M13" s="517">
        <f t="array" ref="M13:M17">MMULT([1]!PseudoInv(X),y)</f>
        <v>-4.0927676494365919</v>
      </c>
      <c r="N13" s="517">
        <f t="array" ref="N13:N17">MMULT(TRANSPOSE(L),a)</f>
        <v>-7.5117454095584124</v>
      </c>
      <c r="R13" s="455">
        <v>1</v>
      </c>
      <c r="S13" s="1">
        <f>S12+8/20</f>
        <v>-5.5511151231257827E-16</v>
      </c>
      <c r="T13" s="1">
        <f>S13^2</f>
        <v>3.0814879110195774E-31</v>
      </c>
      <c r="U13" s="1">
        <f>S13^3</f>
        <v>-1.7105694144590052E-46</v>
      </c>
      <c r="V13" s="90">
        <f>S13^4</f>
        <v>9.4955677457597987E-62</v>
      </c>
      <c r="W13" s="455">
        <v>0.63203589938063209</v>
      </c>
      <c r="X13" s="1">
        <v>-1.872427277839643E-16</v>
      </c>
      <c r="Y13" s="1">
        <v>-0.13321021052392193</v>
      </c>
      <c r="Z13" s="1">
        <v>1.3161410462674912E-17</v>
      </c>
      <c r="AA13" s="90">
        <v>5.922748998974354E-3</v>
      </c>
      <c r="AB13" s="1">
        <v>-4.0927676494365919</v>
      </c>
    </row>
    <row r="14" spans="1:28">
      <c r="A14" s="515">
        <v>1</v>
      </c>
      <c r="B14" s="455">
        <v>0</v>
      </c>
      <c r="C14" s="1">
        <v>60</v>
      </c>
      <c r="D14" s="1">
        <v>0</v>
      </c>
      <c r="E14" s="1">
        <v>708</v>
      </c>
      <c r="F14" s="90">
        <v>0</v>
      </c>
      <c r="G14" s="455">
        <v>0</v>
      </c>
      <c r="H14" s="1">
        <v>60.000000000000121</v>
      </c>
      <c r="I14" s="1">
        <v>0</v>
      </c>
      <c r="J14" s="1">
        <v>708.00000000000091</v>
      </c>
      <c r="K14" s="90">
        <v>0</v>
      </c>
      <c r="M14" s="35">
        <v>0.61724545993954671</v>
      </c>
      <c r="N14" s="35">
        <v>1.7691562152014246</v>
      </c>
      <c r="R14" s="455">
        <v>1</v>
      </c>
      <c r="S14" s="1">
        <f>S13+8/20</f>
        <v>0.39999999999999947</v>
      </c>
      <c r="T14" s="1">
        <f>S14^2</f>
        <v>0.15999999999999959</v>
      </c>
      <c r="U14" s="1">
        <f>S14^3</f>
        <v>6.3999999999999752E-2</v>
      </c>
      <c r="V14" s="90">
        <f>S14^4</f>
        <v>2.5599999999999869E-2</v>
      </c>
      <c r="W14" s="455">
        <v>0.61087388807117837</v>
      </c>
      <c r="X14" s="1">
        <v>0.13340519733677378</v>
      </c>
      <c r="Y14" s="1">
        <v>-0.10520959121744672</v>
      </c>
      <c r="Z14" s="1">
        <v>-8.7283811023423467E-3</v>
      </c>
      <c r="AA14" s="90">
        <v>4.2288950362804577E-3</v>
      </c>
      <c r="AB14" s="1">
        <v>-3.8290632430781244</v>
      </c>
    </row>
    <row r="15" spans="1:28">
      <c r="A15" s="515">
        <v>2</v>
      </c>
      <c r="B15" s="455">
        <v>60</v>
      </c>
      <c r="C15" s="1">
        <v>0</v>
      </c>
      <c r="D15" s="1">
        <v>708</v>
      </c>
      <c r="E15" s="1">
        <v>0</v>
      </c>
      <c r="F15" s="90">
        <v>9780</v>
      </c>
      <c r="G15" s="455">
        <v>60.00000000000118</v>
      </c>
      <c r="H15" s="1">
        <v>0</v>
      </c>
      <c r="I15" s="1">
        <v>708.00000000000034</v>
      </c>
      <c r="J15" s="1">
        <v>0</v>
      </c>
      <c r="K15" s="90">
        <v>9780.0000000000055</v>
      </c>
      <c r="M15" s="35">
        <v>0.12309435963468526</v>
      </c>
      <c r="N15" s="35">
        <v>-4.8020434966705112</v>
      </c>
      <c r="R15" s="455">
        <v>1</v>
      </c>
      <c r="S15" s="1">
        <f>S14+8/20</f>
        <v>0.79999999999999949</v>
      </c>
      <c r="T15" s="1">
        <f>S15^2</f>
        <v>0.63999999999999924</v>
      </c>
      <c r="U15" s="1">
        <f>S15^3</f>
        <v>0.51199999999999901</v>
      </c>
      <c r="V15" s="90">
        <f>S15^4</f>
        <v>0.40959999999999902</v>
      </c>
      <c r="W15" s="455">
        <v>0.54920732263530203</v>
      </c>
      <c r="X15" s="1">
        <v>0.25770595078152247</v>
      </c>
      <c r="Y15" s="1">
        <v>-2.462437889454237E-2</v>
      </c>
      <c r="Z15" s="1">
        <v>-1.2924274493580879E-2</v>
      </c>
      <c r="AA15" s="90">
        <v>1.7512057413110135E-4</v>
      </c>
      <c r="AB15" s="1">
        <v>-3.5397120245578138</v>
      </c>
    </row>
    <row r="16" spans="1:28">
      <c r="A16" s="515">
        <v>3</v>
      </c>
      <c r="B16" s="455">
        <v>0</v>
      </c>
      <c r="C16" s="1">
        <v>708</v>
      </c>
      <c r="D16" s="1">
        <v>0</v>
      </c>
      <c r="E16" s="1">
        <v>9780</v>
      </c>
      <c r="F16" s="90">
        <v>0</v>
      </c>
      <c r="G16" s="455">
        <v>0</v>
      </c>
      <c r="H16" s="1">
        <v>708.00000000000102</v>
      </c>
      <c r="I16" s="1">
        <v>0</v>
      </c>
      <c r="J16" s="1">
        <v>9780.0000000000018</v>
      </c>
      <c r="K16" s="90">
        <v>0</v>
      </c>
      <c r="M16" s="35">
        <v>-5.2150135358098385E-2</v>
      </c>
      <c r="N16" s="35">
        <v>-0.86452931143773792</v>
      </c>
      <c r="R16" s="455">
        <v>1</v>
      </c>
      <c r="S16" s="1">
        <f>S15+8/20</f>
        <v>1.1999999999999995</v>
      </c>
      <c r="T16" s="1">
        <f>S16^2</f>
        <v>1.4399999999999988</v>
      </c>
      <c r="U16" s="1">
        <f>S16^3</f>
        <v>1.727999999999998</v>
      </c>
      <c r="V16" s="90">
        <f>S16^4</f>
        <v>2.0735999999999968</v>
      </c>
      <c r="W16" s="455">
        <v>0.45249460855045792</v>
      </c>
      <c r="X16" s="1">
        <v>0.36379781644222059</v>
      </c>
      <c r="Y16" s="1">
        <v>9.829548965522672E-2</v>
      </c>
      <c r="Z16" s="1">
        <v>-8.0551924626117537E-3</v>
      </c>
      <c r="AA16" s="90">
        <v>-3.1552121096766793E-3</v>
      </c>
      <c r="AB16" s="1">
        <v>-3.2285852397085217</v>
      </c>
    </row>
    <row r="17" spans="1:28">
      <c r="A17" s="513">
        <v>4</v>
      </c>
      <c r="B17" s="455">
        <v>708</v>
      </c>
      <c r="C17" s="1">
        <v>0</v>
      </c>
      <c r="D17" s="1">
        <v>9780</v>
      </c>
      <c r="E17" s="1">
        <v>0</v>
      </c>
      <c r="F17" s="90">
        <v>144708</v>
      </c>
      <c r="G17" s="106">
        <v>708.00000000001819</v>
      </c>
      <c r="H17" s="76">
        <v>0</v>
      </c>
      <c r="I17" s="76">
        <v>9780.0000000000055</v>
      </c>
      <c r="J17" s="76">
        <v>0</v>
      </c>
      <c r="K17" s="77">
        <v>144708.00000000009</v>
      </c>
      <c r="M17" s="64">
        <v>1.7528652500704983E-2</v>
      </c>
      <c r="N17" s="64">
        <v>2.5737864761994365</v>
      </c>
      <c r="R17" s="455">
        <v>1</v>
      </c>
      <c r="S17" s="1">
        <f>S16+8/20</f>
        <v>1.5999999999999996</v>
      </c>
      <c r="T17" s="1">
        <f>S17^2</f>
        <v>2.5599999999999987</v>
      </c>
      <c r="U17" s="1">
        <f>S17^3</f>
        <v>4.0959999999999974</v>
      </c>
      <c r="V17" s="90">
        <f>S17^4</f>
        <v>6.5535999999999932</v>
      </c>
      <c r="W17" s="455">
        <v>0.32983308827907043</v>
      </c>
      <c r="X17" s="1">
        <v>0.44257635042684296</v>
      </c>
      <c r="Y17" s="1">
        <v>0.24646678644925318</v>
      </c>
      <c r="Z17" s="1">
        <v>1.0411352701668868E-2</v>
      </c>
      <c r="AA17" s="90">
        <v>-6.2316588548115559E-4</v>
      </c>
      <c r="AB17" s="1">
        <v>-2.8887845302666739</v>
      </c>
    </row>
    <row r="18" spans="1:28" ht="18.75">
      <c r="A18" s="511" t="s">
        <v>404</v>
      </c>
      <c r="B18" s="652" t="s">
        <v>252</v>
      </c>
      <c r="C18" s="809"/>
      <c r="D18" s="809"/>
      <c r="E18" s="809"/>
      <c r="F18" s="808"/>
      <c r="G18" s="652" t="s">
        <v>403</v>
      </c>
      <c r="H18" s="809"/>
      <c r="I18" s="809"/>
      <c r="J18" s="809"/>
      <c r="K18" s="808"/>
      <c r="L18" s="985" t="s">
        <v>402</v>
      </c>
      <c r="M18" s="984"/>
      <c r="N18" s="984"/>
      <c r="O18" s="984"/>
      <c r="P18" s="983"/>
      <c r="R18" s="455">
        <v>1</v>
      </c>
      <c r="S18" s="1">
        <f>S17+8/20</f>
        <v>1.9999999999999996</v>
      </c>
      <c r="T18" s="1">
        <f>S18^2</f>
        <v>3.9999999999999982</v>
      </c>
      <c r="U18" s="1">
        <f>S18^3</f>
        <v>7.9999999999999947</v>
      </c>
      <c r="V18" s="90">
        <f>S18^4</f>
        <v>15.999999999999986</v>
      </c>
      <c r="W18" s="455">
        <v>0.19395904126853422</v>
      </c>
      <c r="X18" s="1">
        <v>0.48493710884336416</v>
      </c>
      <c r="Y18" s="1">
        <v>0.39597299231188682</v>
      </c>
      <c r="Z18" s="1">
        <v>4.70078487103648E-2</v>
      </c>
      <c r="AA18" s="90">
        <v>1.4965771228244086E-2</v>
      </c>
      <c r="AB18" s="1">
        <v>-2.5026419338722654</v>
      </c>
    </row>
    <row r="19" spans="1:28">
      <c r="A19" s="518">
        <v>0</v>
      </c>
      <c r="B19" s="81">
        <f t="array" ref="B19:F23">[1]!MSQRT(B13:F17)</f>
        <v>1.889016754264266</v>
      </c>
      <c r="C19" s="88">
        <v>0</v>
      </c>
      <c r="D19" s="88">
        <v>1.5338101218711502</v>
      </c>
      <c r="E19" s="88">
        <v>0</v>
      </c>
      <c r="F19" s="80">
        <v>1.7547199811236722</v>
      </c>
      <c r="G19" s="770">
        <f t="array" ref="G19:K23">MINVERSE(L)</f>
        <v>0.63203589938063209</v>
      </c>
      <c r="H19" s="88">
        <v>0</v>
      </c>
      <c r="I19" s="938">
        <v>-0.13321021052392193</v>
      </c>
      <c r="J19" s="88">
        <v>0</v>
      </c>
      <c r="K19" s="767">
        <v>5.922748998974354E-3</v>
      </c>
      <c r="L19" s="81">
        <f t="array" ref="L19:P23">MMULT(TRANSPOSE(W),W)</f>
        <v>1.0000000000000009</v>
      </c>
      <c r="M19" s="88">
        <v>1.5612511283791264E-17</v>
      </c>
      <c r="N19" s="88">
        <v>2.2455995396519768E-15</v>
      </c>
      <c r="O19" s="88">
        <v>0</v>
      </c>
      <c r="P19" s="80">
        <v>-3.0225821845419887E-14</v>
      </c>
      <c r="R19" s="455">
        <v>1</v>
      </c>
      <c r="S19" s="1">
        <f>S18+8/20</f>
        <v>2.3999999999999995</v>
      </c>
      <c r="T19" s="1">
        <f>S19^2</f>
        <v>5.7599999999999971</v>
      </c>
      <c r="U19" s="1">
        <f>S19^3</f>
        <v>13.823999999999989</v>
      </c>
      <c r="V19" s="90">
        <f>S19^4</f>
        <v>33.17759999999997</v>
      </c>
      <c r="W19" s="455">
        <v>6.124768395121355E-2</v>
      </c>
      <c r="X19" s="1">
        <v>0.48177564779975901</v>
      </c>
      <c r="Y19" s="1">
        <v>0.51606429687443434</v>
      </c>
      <c r="Z19" s="1">
        <v>0.10626678327457986</v>
      </c>
      <c r="AA19" s="90">
        <v>5.2861686064890154E-2</v>
      </c>
      <c r="AB19" s="1">
        <v>-2.041719884068856</v>
      </c>
    </row>
    <row r="20" spans="1:28">
      <c r="A20" s="515">
        <v>1</v>
      </c>
      <c r="B20" s="455">
        <v>0</v>
      </c>
      <c r="C20" s="1">
        <v>3.4520722718951307</v>
      </c>
      <c r="D20" s="1">
        <v>0</v>
      </c>
      <c r="E20" s="1">
        <v>6.9342048592187489</v>
      </c>
      <c r="F20" s="90">
        <v>0</v>
      </c>
      <c r="G20" s="455">
        <v>0</v>
      </c>
      <c r="H20" s="933">
        <v>0.33730651163027875</v>
      </c>
      <c r="I20" s="1">
        <v>0</v>
      </c>
      <c r="J20" s="933">
        <v>-2.3709489302149153E-2</v>
      </c>
      <c r="K20" s="90">
        <v>0</v>
      </c>
      <c r="L20" s="455">
        <v>1.5612511283791264E-17</v>
      </c>
      <c r="M20" s="1">
        <v>1.0000000000000004</v>
      </c>
      <c r="N20" s="1">
        <v>1.3877787807814457E-17</v>
      </c>
      <c r="O20" s="1">
        <v>-2.8033131371785203E-15</v>
      </c>
      <c r="P20" s="90">
        <v>0</v>
      </c>
      <c r="R20" s="455">
        <v>1</v>
      </c>
      <c r="S20" s="1">
        <f>S19+8/20</f>
        <v>2.7999999999999994</v>
      </c>
      <c r="T20" s="1">
        <f>S20^2</f>
        <v>7.8399999999999963</v>
      </c>
      <c r="U20" s="1">
        <f>S20^3</f>
        <v>21.951999999999984</v>
      </c>
      <c r="V20" s="90">
        <f>S20^4</f>
        <v>61.465599999999945</v>
      </c>
      <c r="W20" s="455">
        <v>-4.8286830255557467E-2</v>
      </c>
      <c r="X20" s="1">
        <v>0.42398752340400214</v>
      </c>
      <c r="Y20" s="1">
        <v>0.56915759857515991</v>
      </c>
      <c r="Z20" s="1">
        <v>0.19272064410541789</v>
      </c>
      <c r="AA20" s="90">
        <v>0.12437024030971282</v>
      </c>
      <c r="AB20" s="1">
        <v>-1.4668112103035731</v>
      </c>
    </row>
    <row r="21" spans="1:28">
      <c r="A21" s="515">
        <v>2</v>
      </c>
      <c r="B21" s="455">
        <v>1.53381012187115</v>
      </c>
      <c r="C21" s="1">
        <v>0</v>
      </c>
      <c r="D21" s="1">
        <v>8.3979001929273362</v>
      </c>
      <c r="E21" s="1">
        <v>0</v>
      </c>
      <c r="F21" s="90">
        <v>25.201640796973457</v>
      </c>
      <c r="G21" s="778">
        <v>-0.13321021052392193</v>
      </c>
      <c r="H21" s="1">
        <v>0</v>
      </c>
      <c r="I21" s="933">
        <v>0.17678337358032548</v>
      </c>
      <c r="J21" s="1">
        <v>0</v>
      </c>
      <c r="K21" s="776">
        <v>-1.112189321784331E-2</v>
      </c>
      <c r="L21" s="455">
        <v>2.2455995396519768E-15</v>
      </c>
      <c r="M21" s="1">
        <v>1.3877787807814457E-17</v>
      </c>
      <c r="N21" s="1">
        <v>0.99999999999999889</v>
      </c>
      <c r="O21" s="1">
        <v>0</v>
      </c>
      <c r="P21" s="90">
        <v>7.4384942649885488E-15</v>
      </c>
      <c r="R21" s="455">
        <v>1</v>
      </c>
      <c r="S21" s="1">
        <f>S20+8/20</f>
        <v>3.1999999999999993</v>
      </c>
      <c r="T21" s="1">
        <f>S21^2</f>
        <v>10.239999999999995</v>
      </c>
      <c r="U21" s="1">
        <f>S21^3</f>
        <v>32.767999999999979</v>
      </c>
      <c r="V21" s="90">
        <f>S21^4</f>
        <v>104.85759999999989</v>
      </c>
      <c r="W21" s="455">
        <v>-0.11099141094947484</v>
      </c>
      <c r="X21" s="1">
        <v>0.30246829176406831</v>
      </c>
      <c r="Y21" s="1">
        <v>0.51083650465928421</v>
      </c>
      <c r="Z21" s="1">
        <v>0.31090191891398278</v>
      </c>
      <c r="AA21" s="90">
        <v>0.2428526704998325</v>
      </c>
      <c r="AB21" s="1">
        <v>-0.72793913792711207</v>
      </c>
    </row>
    <row r="22" spans="1:28">
      <c r="A22" s="515">
        <v>3</v>
      </c>
      <c r="B22" s="455">
        <v>0</v>
      </c>
      <c r="C22" s="1">
        <v>6.9342048592187497</v>
      </c>
      <c r="D22" s="1">
        <v>0</v>
      </c>
      <c r="E22" s="1">
        <v>98.650477966254115</v>
      </c>
      <c r="F22" s="90">
        <v>0</v>
      </c>
      <c r="G22" s="455">
        <v>0</v>
      </c>
      <c r="H22" s="933">
        <v>-2.3709489302149171E-2</v>
      </c>
      <c r="I22" s="1">
        <v>0</v>
      </c>
      <c r="J22" s="933">
        <v>1.1803353414332895E-2</v>
      </c>
      <c r="K22" s="90">
        <v>0</v>
      </c>
      <c r="L22" s="455">
        <v>0</v>
      </c>
      <c r="M22" s="1">
        <v>-2.8033131371785203E-15</v>
      </c>
      <c r="N22" s="1">
        <v>0</v>
      </c>
      <c r="O22" s="1">
        <v>1.0000000000000004</v>
      </c>
      <c r="P22" s="90">
        <v>-5.5511151231257827E-17</v>
      </c>
      <c r="R22" s="455">
        <v>1</v>
      </c>
      <c r="S22" s="1">
        <f>S21+8/20</f>
        <v>3.5999999999999992</v>
      </c>
      <c r="T22" s="1">
        <f>S22^2</f>
        <v>12.959999999999994</v>
      </c>
      <c r="U22" s="1">
        <f>S22^3</f>
        <v>46.65599999999997</v>
      </c>
      <c r="V22" s="90">
        <f>S22^4</f>
        <v>167.96159999999983</v>
      </c>
      <c r="W22" s="455">
        <v>-9.9574030743264985E-2</v>
      </c>
      <c r="X22" s="1">
        <v>0.10811350898793237</v>
      </c>
      <c r="Y22" s="1">
        <v>0.28985133117898543</v>
      </c>
      <c r="Z22" s="1">
        <v>0.46534309541137825</v>
      </c>
      <c r="AA22" s="90">
        <v>0.42372578802423455</v>
      </c>
      <c r="AB22" s="1">
        <v>0.23564271180626628</v>
      </c>
    </row>
    <row r="23" spans="1:28">
      <c r="A23" s="513">
        <v>4</v>
      </c>
      <c r="B23" s="106">
        <v>1.7547199811236722</v>
      </c>
      <c r="C23" s="76">
        <v>0</v>
      </c>
      <c r="D23" s="76">
        <v>25.201640796973457</v>
      </c>
      <c r="E23" s="76">
        <v>0</v>
      </c>
      <c r="F23" s="77">
        <v>379.56527535975715</v>
      </c>
      <c r="G23" s="764">
        <v>5.9227489989743566E-3</v>
      </c>
      <c r="H23" s="76">
        <v>0</v>
      </c>
      <c r="I23" s="1182">
        <v>-1.1121893217843314E-2</v>
      </c>
      <c r="J23" s="76">
        <v>0</v>
      </c>
      <c r="K23" s="763">
        <v>3.3456621937901876E-3</v>
      </c>
      <c r="L23" s="106">
        <v>-3.0225821845419887E-14</v>
      </c>
      <c r="M23" s="76">
        <v>0</v>
      </c>
      <c r="N23" s="76">
        <v>7.4384942649885488E-15</v>
      </c>
      <c r="O23" s="76">
        <v>-5.5511151231257827E-17</v>
      </c>
      <c r="P23" s="77">
        <v>0.99999999999999845</v>
      </c>
      <c r="R23" s="106">
        <v>1</v>
      </c>
      <c r="S23" s="76">
        <f>S22+8/20</f>
        <v>3.9999999999999991</v>
      </c>
      <c r="T23" s="76">
        <f>S23^2</f>
        <v>15.999999999999993</v>
      </c>
      <c r="U23" s="76">
        <f>S23^3</f>
        <v>63.999999999999957</v>
      </c>
      <c r="V23" s="77">
        <f>S23^4</f>
        <v>255.99999999999977</v>
      </c>
      <c r="W23" s="106">
        <v>1.6896274735316075E-2</v>
      </c>
      <c r="X23" s="76">
        <v>-0.16818126881643103</v>
      </c>
      <c r="Y23" s="76">
        <v>-0.15188089700660123</v>
      </c>
      <c r="Z23" s="76">
        <v>0.66057666130870818</v>
      </c>
      <c r="AA23" s="77">
        <v>0.68446197912376872</v>
      </c>
      <c r="AB23" s="1">
        <v>1.4954503217387356</v>
      </c>
    </row>
  </sheetData>
  <mergeCells count="7">
    <mergeCell ref="L18:P18"/>
    <mergeCell ref="B1:F1"/>
    <mergeCell ref="G1:K1"/>
    <mergeCell ref="B12:F12"/>
    <mergeCell ref="G12:K12"/>
    <mergeCell ref="B18:F18"/>
    <mergeCell ref="G18:K18"/>
  </mergeCells>
  <conditionalFormatting sqref="L19:P23">
    <cfRule type="cellIs" dxfId="47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720A-17E7-4747-80E4-5D693D4822BA}">
  <dimension ref="A1:BC89"/>
  <sheetViews>
    <sheetView zoomScaleNormal="100" workbookViewId="0">
      <pane ySplit="2" topLeftCell="A3" activePane="bottomLeft" state="frozen"/>
      <selection pane="bottomLeft" activeCell="AA19" sqref="AA19"/>
    </sheetView>
  </sheetViews>
  <sheetFormatPr defaultColWidth="6.875" defaultRowHeight="15" customHeight="1"/>
  <cols>
    <col min="1" max="1" width="3.875" style="1069" customWidth="1"/>
    <col min="2" max="11" width="6.875" style="1069" customWidth="1"/>
    <col min="12" max="12" width="3.875" style="1069" customWidth="1"/>
    <col min="13" max="22" width="6.875" style="1069" customWidth="1"/>
    <col min="23" max="23" width="3.875" style="1069" customWidth="1"/>
    <col min="24" max="32" width="6.875" style="1069" customWidth="1"/>
    <col min="33" max="33" width="7" style="1069" bestFit="1" customWidth="1"/>
    <col min="34" max="34" width="6.875" style="1069" customWidth="1"/>
    <col min="35" max="37" width="6.875" style="1071" customWidth="1"/>
    <col min="38" max="41" width="6.875" style="1070" customWidth="1"/>
    <col min="42" max="45" width="6.875" style="1070"/>
    <col min="46" max="48" width="6.875" style="1070" customWidth="1"/>
    <col min="49" max="49" width="6.875" style="1069" customWidth="1"/>
    <col min="50" max="16384" width="6.875" style="1069"/>
  </cols>
  <sheetData>
    <row r="1" spans="1:51" ht="15" customHeight="1">
      <c r="B1" s="1146" t="s">
        <v>14</v>
      </c>
      <c r="C1" s="1152"/>
      <c r="D1" s="1152"/>
      <c r="E1" s="1152"/>
      <c r="F1" s="1152"/>
      <c r="G1" s="1152"/>
      <c r="H1" s="1152"/>
      <c r="I1" s="1152"/>
      <c r="J1" s="1152"/>
      <c r="K1" s="1151"/>
      <c r="M1" s="1146" t="s">
        <v>401</v>
      </c>
      <c r="N1" s="1152"/>
      <c r="O1" s="1152"/>
      <c r="P1" s="1152"/>
      <c r="Q1" s="1152"/>
      <c r="R1" s="1152"/>
      <c r="S1" s="1152"/>
      <c r="T1" s="1152"/>
      <c r="U1" s="1152"/>
      <c r="V1" s="1151"/>
      <c r="W1" s="1092"/>
      <c r="X1" s="1153" t="s">
        <v>400</v>
      </c>
      <c r="Y1" s="1177"/>
      <c r="Z1" s="1176"/>
      <c r="AA1" s="1129"/>
      <c r="AB1" s="662" t="s">
        <v>399</v>
      </c>
      <c r="AC1" s="1097"/>
      <c r="AD1" s="1097"/>
      <c r="AE1" s="663"/>
      <c r="AF1" s="1"/>
      <c r="AG1" s="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ht="18" customHeight="1">
      <c r="A2" s="1126" t="s">
        <v>10</v>
      </c>
      <c r="B2" s="1126">
        <v>0</v>
      </c>
      <c r="C2" s="1126">
        <v>1</v>
      </c>
      <c r="D2" s="1093">
        <v>2</v>
      </c>
      <c r="E2" s="1092">
        <v>3</v>
      </c>
      <c r="F2" s="1093">
        <v>12</v>
      </c>
      <c r="G2" s="1093">
        <v>13</v>
      </c>
      <c r="H2" s="1093">
        <v>23</v>
      </c>
      <c r="I2" s="1126">
        <v>11</v>
      </c>
      <c r="J2" s="1093">
        <v>22</v>
      </c>
      <c r="K2" s="1092">
        <v>33</v>
      </c>
      <c r="L2" s="1126" t="s">
        <v>10</v>
      </c>
      <c r="M2" s="1126">
        <v>0</v>
      </c>
      <c r="N2" s="1126">
        <v>1</v>
      </c>
      <c r="O2" s="1093">
        <v>2</v>
      </c>
      <c r="P2" s="1092">
        <v>3</v>
      </c>
      <c r="Q2" s="1093">
        <v>12</v>
      </c>
      <c r="R2" s="1093">
        <v>13</v>
      </c>
      <c r="S2" s="1093">
        <v>23</v>
      </c>
      <c r="T2" s="1126">
        <v>11</v>
      </c>
      <c r="U2" s="1093">
        <v>22</v>
      </c>
      <c r="V2" s="1092">
        <v>33</v>
      </c>
      <c r="W2" s="1126" t="s">
        <v>10</v>
      </c>
      <c r="X2" s="1126" t="s">
        <v>398</v>
      </c>
      <c r="Y2" s="1175" t="s">
        <v>397</v>
      </c>
      <c r="Z2" s="1174" t="s">
        <v>396</v>
      </c>
      <c r="AA2" s="1173" t="s">
        <v>219</v>
      </c>
      <c r="AB2" s="1126" t="s">
        <v>395</v>
      </c>
      <c r="AC2" s="1093" t="s">
        <v>394</v>
      </c>
      <c r="AD2" s="1093" t="s">
        <v>393</v>
      </c>
      <c r="AE2" s="1092" t="s">
        <v>392</v>
      </c>
      <c r="AF2" s="1"/>
      <c r="AG2" s="1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ht="15" customHeight="1">
      <c r="A3" s="1121">
        <v>1</v>
      </c>
      <c r="B3" s="1172">
        <v>1</v>
      </c>
      <c r="C3" s="1116">
        <v>-0.76067965209951183</v>
      </c>
      <c r="D3" s="1115">
        <v>-0.78143878953439683</v>
      </c>
      <c r="E3" s="1114">
        <v>0.57820542434009958</v>
      </c>
      <c r="F3" s="1115">
        <f>C3*D3</f>
        <v>0.59442458656008867</v>
      </c>
      <c r="G3" s="1115">
        <f>C3*E3</f>
        <v>-0.43982910102907757</v>
      </c>
      <c r="H3" s="1115">
        <f>D3*E3</f>
        <v>-0.45183214689854967</v>
      </c>
      <c r="I3" s="1116">
        <f>C3^2</f>
        <v>0.5786335331182344</v>
      </c>
      <c r="J3" s="1115">
        <f>D3*D3</f>
        <v>0.61064658178898334</v>
      </c>
      <c r="K3" s="1114">
        <f>E3^2</f>
        <v>0.33432151273631461</v>
      </c>
      <c r="L3" s="1121">
        <v>1</v>
      </c>
      <c r="M3" s="517">
        <f t="array" ref="M3:V18">MMULT(X,ͶS_adj_Inv)</f>
        <v>0.24999999999999467</v>
      </c>
      <c r="N3" s="523">
        <v>-0.42337029368790136</v>
      </c>
      <c r="O3" s="522">
        <v>-0.27761317115110506</v>
      </c>
      <c r="P3" s="124">
        <v>0.27084926734699649</v>
      </c>
      <c r="Q3" s="523">
        <v>0.44611012639683995</v>
      </c>
      <c r="R3" s="522">
        <v>-0.15611015363775468</v>
      </c>
      <c r="S3" s="124">
        <v>-0.33858976133003515</v>
      </c>
      <c r="T3" s="523">
        <v>0.23889432276671582</v>
      </c>
      <c r="U3" s="522">
        <v>0.1628411849074311</v>
      </c>
      <c r="V3" s="124">
        <v>6.7319090604797682E-4</v>
      </c>
      <c r="W3" s="1121">
        <v>1</v>
      </c>
      <c r="X3" s="1116">
        <f t="array" ref="X3:X18">MMULT(U,b)</f>
        <v>-0.16941448038227769</v>
      </c>
      <c r="Y3" s="1115">
        <f t="array" ref="Y3:Y18">MMULT(X,a)</f>
        <v>-0.16941448038227824</v>
      </c>
      <c r="Z3" s="791">
        <f t="array" ref="Z3:Z18">MMULT(Q_adj,d)</f>
        <v>-0.16941448038227833</v>
      </c>
      <c r="AA3" s="1116">
        <v>-0.12124853279636133</v>
      </c>
      <c r="AB3" s="1116">
        <f t="array" ref="AB3:AB18">MMULT(X_0,a_0)</f>
        <v>-5.0674297531213108E-2</v>
      </c>
      <c r="AC3" s="1115">
        <f t="array" ref="AC3:AC18">MMULT(X_1,a_1)</f>
        <v>0.55587523510914694</v>
      </c>
      <c r="AD3" s="1115">
        <f t="array" ref="AD3:AD18">MMULT(X_2,a_2)</f>
        <v>0.4869107452691554</v>
      </c>
      <c r="AE3" s="1114">
        <f t="array" ref="AE3:AE18">MMULT(X_3,a_3)</f>
        <v>-1.1615261632293679</v>
      </c>
      <c r="AF3" s="1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15" customHeight="1">
      <c r="A4" s="1110">
        <v>2</v>
      </c>
      <c r="B4" s="1169">
        <v>1</v>
      </c>
      <c r="C4" s="1107">
        <v>-0.47929175845071614</v>
      </c>
      <c r="D4" s="1070">
        <v>0.16206974033823496</v>
      </c>
      <c r="E4" s="1106">
        <v>-0.95107520959190395</v>
      </c>
      <c r="F4" s="1070">
        <f>C4*D4</f>
        <v>-7.7678690838363595E-2</v>
      </c>
      <c r="G4" s="1070">
        <f>C4*E4</f>
        <v>0.45584250962418704</v>
      </c>
      <c r="H4" s="1070">
        <f>D4*E4</f>
        <v>-0.15414051226069225</v>
      </c>
      <c r="I4" s="1107">
        <f>C4^2</f>
        <v>0.22972058971877962</v>
      </c>
      <c r="J4" s="1070">
        <f>D4*D4</f>
        <v>2.6266600733302902E-2</v>
      </c>
      <c r="K4" s="1106">
        <f>E4^2</f>
        <v>0.90454405430028406</v>
      </c>
      <c r="L4" s="1110">
        <v>2</v>
      </c>
      <c r="M4" s="35">
        <v>0.24999999999999467</v>
      </c>
      <c r="N4" s="514">
        <v>-0.15269466499371917</v>
      </c>
      <c r="O4" s="36">
        <v>4.5034853802577005E-2</v>
      </c>
      <c r="P4" s="37">
        <v>-0.31240206531096681</v>
      </c>
      <c r="Q4" s="514">
        <v>6.5293353731512349E-2</v>
      </c>
      <c r="R4" s="36">
        <v>0.29392290858582726</v>
      </c>
      <c r="S4" s="37">
        <v>-8.1533327295089594E-2</v>
      </c>
      <c r="T4" s="514">
        <v>1.3368205593983828E-2</v>
      </c>
      <c r="U4" s="36">
        <v>-9.5255371312684606E-2</v>
      </c>
      <c r="V4" s="37">
        <v>0.32961454941298551</v>
      </c>
      <c r="W4" s="1110">
        <v>2</v>
      </c>
      <c r="X4" s="1107">
        <v>-0.39817253750695969</v>
      </c>
      <c r="Y4" s="1070">
        <v>-0.39817253750695847</v>
      </c>
      <c r="Z4" s="1171">
        <v>-0.39817253750695891</v>
      </c>
      <c r="AA4" s="1107">
        <v>-0.54976676743830333</v>
      </c>
      <c r="AB4" s="1107">
        <v>-5.0674297531213108E-2</v>
      </c>
      <c r="AC4" s="1070">
        <v>0.8359675778136566</v>
      </c>
      <c r="AD4" s="1070">
        <v>-0.21566744498351281</v>
      </c>
      <c r="AE4" s="1106">
        <v>-0.96779837280588921</v>
      </c>
      <c r="AF4" s="1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5" customHeight="1">
      <c r="A5" s="1110">
        <v>3</v>
      </c>
      <c r="B5" s="1169">
        <v>1</v>
      </c>
      <c r="C5" s="1107">
        <v>-0.41510647164706849</v>
      </c>
      <c r="D5" s="1070">
        <v>0.80469754912974745</v>
      </c>
      <c r="E5" s="1106">
        <v>-0.82438171230858681</v>
      </c>
      <c r="F5" s="1070">
        <f>C5*D5</f>
        <v>-0.33403516036229303</v>
      </c>
      <c r="G5" s="1070">
        <f>C5*E5</f>
        <v>0.34220618388678614</v>
      </c>
      <c r="H5" s="1070">
        <f>D5*E5</f>
        <v>-0.66337794344210432</v>
      </c>
      <c r="I5" s="1107">
        <f>C5^2</f>
        <v>0.17231338280327849</v>
      </c>
      <c r="J5" s="1070">
        <f>D5*D5</f>
        <v>0.64753814557542233</v>
      </c>
      <c r="K5" s="1106">
        <f>E5^2</f>
        <v>0.67960520758883758</v>
      </c>
      <c r="L5" s="1110">
        <v>3</v>
      </c>
      <c r="M5" s="35">
        <v>0.24999999999999467</v>
      </c>
      <c r="N5" s="514">
        <v>-0.14571369660197203</v>
      </c>
      <c r="O5" s="36">
        <v>0.30325818805520405</v>
      </c>
      <c r="P5" s="37">
        <v>-0.25042623082243098</v>
      </c>
      <c r="Q5" s="514">
        <v>-9.5092978190864375E-2</v>
      </c>
      <c r="R5" s="36">
        <v>0.16277661165235047</v>
      </c>
      <c r="S5" s="37">
        <v>-0.33263270008172929</v>
      </c>
      <c r="T5" s="514">
        <v>-4.8400958116233579E-2</v>
      </c>
      <c r="U5" s="36">
        <v>0.18324249756617006</v>
      </c>
      <c r="V5" s="37">
        <v>0.18897403262775037</v>
      </c>
      <c r="W5" s="1110">
        <v>3</v>
      </c>
      <c r="X5" s="1107">
        <v>-1.5642679693647681</v>
      </c>
      <c r="Y5" s="1070">
        <v>-1.5642679693647659</v>
      </c>
      <c r="Z5" s="1171">
        <v>-1.5642679693647663</v>
      </c>
      <c r="AA5" s="1107">
        <v>-1.441748941974955</v>
      </c>
      <c r="AB5" s="1107">
        <v>-5.0674297531213108E-2</v>
      </c>
      <c r="AC5" s="1070">
        <v>6.3071952629258909E-2</v>
      </c>
      <c r="AD5" s="1070">
        <v>-0.66907791534404959</v>
      </c>
      <c r="AE5" s="1106">
        <v>-0.90758770911876208</v>
      </c>
      <c r="AF5" s="1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5" customHeight="1">
      <c r="A6" s="1110">
        <v>4</v>
      </c>
      <c r="B6" s="1169">
        <v>1</v>
      </c>
      <c r="C6" s="1107">
        <v>-0.39376164634859578</v>
      </c>
      <c r="D6" s="1070">
        <v>-0.32050114642590266</v>
      </c>
      <c r="E6" s="1106">
        <v>0.87830749557774013</v>
      </c>
      <c r="F6" s="1070">
        <f>C6*D6</f>
        <v>0.12620105907327581</v>
      </c>
      <c r="G6" s="1070">
        <f>C6*E6</f>
        <v>-0.34584380545900295</v>
      </c>
      <c r="H6" s="1070">
        <f>D6*E6</f>
        <v>-0.28149855924712913</v>
      </c>
      <c r="I6" s="1107">
        <f>C6^2</f>
        <v>0.15504823413515662</v>
      </c>
      <c r="J6" s="1070">
        <f>D6*D6</f>
        <v>0.1027209848603179</v>
      </c>
      <c r="K6" s="1106">
        <f>E6^2</f>
        <v>0.77142405678804205</v>
      </c>
      <c r="L6" s="1110">
        <v>4</v>
      </c>
      <c r="M6" s="35">
        <v>0.24999999999999467</v>
      </c>
      <c r="N6" s="514">
        <v>-0.27694258056591509</v>
      </c>
      <c r="O6" s="36">
        <v>-9.2509774437028472E-2</v>
      </c>
      <c r="P6" s="37">
        <v>0.36425800294918259</v>
      </c>
      <c r="Q6" s="514">
        <v>6.3062779714072273E-2</v>
      </c>
      <c r="R6" s="36">
        <v>-0.2028643409492569</v>
      </c>
      <c r="S6" s="37">
        <v>-0.1746005083564296</v>
      </c>
      <c r="T6" s="514">
        <v>-2.0036478331704424E-2</v>
      </c>
      <c r="U6" s="36">
        <v>-4.4846700188370253E-2</v>
      </c>
      <c r="V6" s="37">
        <v>0.27897076409667804</v>
      </c>
      <c r="W6" s="1110">
        <v>4</v>
      </c>
      <c r="X6" s="1107">
        <v>-1.0767421812413196</v>
      </c>
      <c r="Y6" s="1070">
        <v>-1.0767421812413196</v>
      </c>
      <c r="Z6" s="1171">
        <v>-1.0767421812413194</v>
      </c>
      <c r="AA6" s="1107">
        <v>-1.1821300622660971</v>
      </c>
      <c r="AB6" s="1107">
        <v>-5.0674297531213108E-2</v>
      </c>
      <c r="AC6" s="1070">
        <v>-0.29655931727426721</v>
      </c>
      <c r="AD6" s="1070">
        <v>6.6788709123184895E-2</v>
      </c>
      <c r="AE6" s="1106">
        <v>-0.79629727555902408</v>
      </c>
      <c r="AF6" s="1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" customHeight="1">
      <c r="A7" s="1110">
        <v>5</v>
      </c>
      <c r="B7" s="1169">
        <v>1</v>
      </c>
      <c r="C7" s="1107">
        <v>-0.29501104594712024</v>
      </c>
      <c r="D7" s="1070">
        <v>-0.99877841165635295</v>
      </c>
      <c r="E7" s="1106">
        <v>-0.75888658477771131</v>
      </c>
      <c r="F7" s="1070">
        <f>C7*D7</f>
        <v>0.29465066389214412</v>
      </c>
      <c r="G7" s="1070">
        <f>C7*E7</f>
        <v>0.22387992513051055</v>
      </c>
      <c r="H7" s="1070">
        <f>D7*E7</f>
        <v>0.75795953777159675</v>
      </c>
      <c r="I7" s="1107">
        <f>C7^2</f>
        <v>8.7031517230813885E-2</v>
      </c>
      <c r="J7" s="1070">
        <f>D7*D7</f>
        <v>0.99755831559078723</v>
      </c>
      <c r="K7" s="1106">
        <f>E7^2</f>
        <v>0.57590884855557845</v>
      </c>
      <c r="L7" s="1110">
        <v>5</v>
      </c>
      <c r="M7" s="35">
        <v>0.24999999999999467</v>
      </c>
      <c r="N7" s="514">
        <v>-5.4806556153153094E-2</v>
      </c>
      <c r="O7" s="36">
        <v>-0.41461016425146191</v>
      </c>
      <c r="P7" s="37">
        <v>-0.29237639430160706</v>
      </c>
      <c r="Q7" s="514">
        <v>0.18088555887672303</v>
      </c>
      <c r="R7" s="36">
        <v>0.21226083782594068</v>
      </c>
      <c r="S7" s="37">
        <v>0.38577368797325906</v>
      </c>
      <c r="T7" s="514">
        <v>-0.11729820617998291</v>
      </c>
      <c r="U7" s="36">
        <v>0.3429067702279287</v>
      </c>
      <c r="V7" s="37">
        <v>0.12592799699496179</v>
      </c>
      <c r="W7" s="1110">
        <v>5</v>
      </c>
      <c r="X7" s="1107">
        <v>1.462579894529205</v>
      </c>
      <c r="Y7" s="1070">
        <v>1.4625798945292041</v>
      </c>
      <c r="Z7" s="1171">
        <v>1.4625798945292043</v>
      </c>
      <c r="AA7" s="1107">
        <v>1.5156269782035814</v>
      </c>
      <c r="AB7" s="1107">
        <v>-5.0674297531213108E-2</v>
      </c>
      <c r="AC7" s="1070">
        <v>1.7584558973546263</v>
      </c>
      <c r="AD7" s="1070">
        <v>0.57781115627419899</v>
      </c>
      <c r="AE7" s="1106">
        <v>-0.82301286156840803</v>
      </c>
      <c r="AF7" s="1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" customHeight="1">
      <c r="A8" s="1110">
        <v>6</v>
      </c>
      <c r="B8" s="1169">
        <v>1</v>
      </c>
      <c r="C8" s="1107">
        <v>-0.29098885517716822</v>
      </c>
      <c r="D8" s="1070">
        <v>8.327614326328403E-2</v>
      </c>
      <c r="E8" s="1106">
        <v>0.35708466323057619</v>
      </c>
      <c r="F8" s="1070">
        <f>C8*D8</f>
        <v>-2.4232429591752869E-2</v>
      </c>
      <c r="G8" s="1070">
        <f>C8*E8</f>
        <v>-0.10390765735479002</v>
      </c>
      <c r="H8" s="1070">
        <f>D8*E8</f>
        <v>2.9736633572310996E-2</v>
      </c>
      <c r="I8" s="1107">
        <f>C8^2</f>
        <v>8.4674513837318971E-2</v>
      </c>
      <c r="J8" s="1070">
        <f>D8*D8</f>
        <v>6.9349160368070064E-3</v>
      </c>
      <c r="K8" s="1106">
        <f>E8^2</f>
        <v>0.12750945671449401</v>
      </c>
      <c r="L8" s="1110">
        <v>6</v>
      </c>
      <c r="M8" s="35">
        <v>0.24999999999999467</v>
      </c>
      <c r="N8" s="514">
        <v>-0.18290252751739072</v>
      </c>
      <c r="O8" s="36">
        <v>5.0018651851924029E-2</v>
      </c>
      <c r="P8" s="37">
        <v>0.16732787684971986</v>
      </c>
      <c r="Q8" s="514">
        <v>-4.8142578021014161E-2</v>
      </c>
      <c r="R8" s="36">
        <v>-7.668221398788759E-2</v>
      </c>
      <c r="S8" s="37">
        <v>2.1618091613163602E-2</v>
      </c>
      <c r="T8" s="514">
        <v>3.2271332133019359E-2</v>
      </c>
      <c r="U8" s="36">
        <v>-1.6970289295929877E-2</v>
      </c>
      <c r="V8" s="37">
        <v>3.9282434751534201E-2</v>
      </c>
      <c r="W8" s="1110">
        <v>6</v>
      </c>
      <c r="X8" s="1107">
        <v>-0.53598118432173192</v>
      </c>
      <c r="Y8" s="1070">
        <v>-0.53598118432173114</v>
      </c>
      <c r="Z8" s="1171">
        <v>-0.53598118432173103</v>
      </c>
      <c r="AA8" s="1107">
        <v>-0.42007418340932995</v>
      </c>
      <c r="AB8" s="1107">
        <v>-5.0674297531213108E-2</v>
      </c>
      <c r="AC8" s="1070">
        <v>-0.2854582634983901</v>
      </c>
      <c r="AD8" s="1070">
        <v>4.3121474399679949E-3</v>
      </c>
      <c r="AE8" s="1106">
        <v>-0.20416077073209588</v>
      </c>
      <c r="AF8" s="1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" customHeight="1">
      <c r="A9" s="1110">
        <v>7</v>
      </c>
      <c r="B9" s="1169">
        <v>1</v>
      </c>
      <c r="C9" s="1107">
        <v>-0.23240678389144986</v>
      </c>
      <c r="D9" s="1070">
        <v>-0.68429746073893782</v>
      </c>
      <c r="E9" s="1106">
        <v>-0.6692759363259575</v>
      </c>
      <c r="F9" s="1070">
        <f>C9*D9</f>
        <v>0.15903537207542223</v>
      </c>
      <c r="G9" s="1070">
        <f>C9*E9</f>
        <v>0.15554426789745457</v>
      </c>
      <c r="H9" s="1070">
        <f>D9*E9</f>
        <v>0.45798382376152774</v>
      </c>
      <c r="I9" s="1107">
        <f>C9^2</f>
        <v>5.4012913198767082E-2</v>
      </c>
      <c r="J9" s="1070">
        <f>D9*D9</f>
        <v>0.46826301477375815</v>
      </c>
      <c r="K9" s="1106">
        <f>E9^2</f>
        <v>0.4479302789449871</v>
      </c>
      <c r="L9" s="1110">
        <v>7</v>
      </c>
      <c r="M9" s="35">
        <v>0.24999999999999467</v>
      </c>
      <c r="N9" s="514">
        <v>-3.8346407502553401E-2</v>
      </c>
      <c r="O9" s="36">
        <v>-0.28803183462706899</v>
      </c>
      <c r="P9" s="37">
        <v>-0.25450705664668877</v>
      </c>
      <c r="Q9" s="514">
        <v>9.8580921021543574E-2</v>
      </c>
      <c r="R9" s="36">
        <v>0.13763389317419819</v>
      </c>
      <c r="S9" s="37">
        <v>0.23563377605389904</v>
      </c>
      <c r="T9" s="514">
        <v>-7.0702659989498387E-2</v>
      </c>
      <c r="U9" s="36">
        <v>0.14313401602626025</v>
      </c>
      <c r="V9" s="37">
        <v>0.12851119587985554</v>
      </c>
      <c r="W9" s="1110">
        <v>7</v>
      </c>
      <c r="X9" s="1107">
        <v>1.0868264839444906</v>
      </c>
      <c r="Y9" s="1070">
        <v>1.0868264839444906</v>
      </c>
      <c r="Z9" s="1171">
        <v>1.0868264839444901</v>
      </c>
      <c r="AA9" s="1107">
        <v>1.0765544098627133</v>
      </c>
      <c r="AB9" s="1107">
        <v>-5.0674297531213108E-2</v>
      </c>
      <c r="AC9" s="1070">
        <v>1.344963390399935</v>
      </c>
      <c r="AD9" s="1070">
        <v>0.32658706023963818</v>
      </c>
      <c r="AE9" s="1106">
        <v>-0.53404966916386931</v>
      </c>
      <c r="AF9" s="1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" customHeight="1">
      <c r="A10" s="1110">
        <v>8</v>
      </c>
      <c r="B10" s="1169">
        <v>1</v>
      </c>
      <c r="C10" s="1107">
        <v>-0.10864312570978685</v>
      </c>
      <c r="D10" s="1070">
        <v>0.62504769633557156</v>
      </c>
      <c r="E10" s="1106">
        <v>0.15257081636182845</v>
      </c>
      <c r="F10" s="1070">
        <f>C10*D10</f>
        <v>-6.7907135447598174E-2</v>
      </c>
      <c r="G10" s="1070">
        <f>C10*E10</f>
        <v>-1.6575770381642933E-2</v>
      </c>
      <c r="H10" s="1070">
        <f>D10*E10</f>
        <v>9.5364037294998399E-2</v>
      </c>
      <c r="I10" s="1107">
        <f>C10^2</f>
        <v>1.1803328763992548E-2</v>
      </c>
      <c r="J10" s="1070">
        <f>D10*D10</f>
        <v>0.39068462269440485</v>
      </c>
      <c r="K10" s="1106">
        <f>E10^2</f>
        <v>2.327785400531478E-2</v>
      </c>
      <c r="L10" s="1110">
        <v>8</v>
      </c>
      <c r="M10" s="35">
        <v>0.24999999999999467</v>
      </c>
      <c r="N10" s="514">
        <v>-8.2251483891176716E-2</v>
      </c>
      <c r="O10" s="36">
        <v>0.25554489620050447</v>
      </c>
      <c r="P10" s="37">
        <v>8.8072776270428657E-2</v>
      </c>
      <c r="Q10" s="514">
        <v>-7.2857258889656593E-2</v>
      </c>
      <c r="R10" s="36">
        <v>-2.8136876162454916E-2</v>
      </c>
      <c r="S10" s="37">
        <v>6.4322497853288224E-2</v>
      </c>
      <c r="T10" s="514">
        <v>-3.2403578300392435E-2</v>
      </c>
      <c r="U10" s="36">
        <v>0.15528053132263372</v>
      </c>
      <c r="V10" s="37">
        <v>-2.8765014367274126E-2</v>
      </c>
      <c r="W10" s="1110">
        <v>8</v>
      </c>
      <c r="X10" s="1107">
        <v>-0.93691695583843126</v>
      </c>
      <c r="Y10" s="1070">
        <v>-0.93691695583843015</v>
      </c>
      <c r="Z10" s="1170">
        <v>-0.93691695583843015</v>
      </c>
      <c r="AA10" s="1107">
        <v>-1.105712276769907</v>
      </c>
      <c r="AB10" s="1107">
        <v>-5.0674297531213108E-2</v>
      </c>
      <c r="AC10" s="1070">
        <v>-0.71467108336092422</v>
      </c>
      <c r="AD10" s="1070">
        <v>-2.6810710724507594E-2</v>
      </c>
      <c r="AE10" s="1106">
        <v>-0.14476086422178536</v>
      </c>
      <c r="AF10" s="1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" customHeight="1">
      <c r="A11" s="1110">
        <v>9</v>
      </c>
      <c r="B11" s="1169">
        <v>1</v>
      </c>
      <c r="C11" s="1107">
        <v>0.21898640467216257</v>
      </c>
      <c r="D11" s="1070">
        <v>0.23481051022881849</v>
      </c>
      <c r="E11" s="1106">
        <v>0.59401525056970028</v>
      </c>
      <c r="F11" s="1070">
        <f>C11*D11</f>
        <v>5.1420309414245018E-2</v>
      </c>
      <c r="G11" s="1070">
        <f>C11*E11</f>
        <v>0.13008126404269243</v>
      </c>
      <c r="H11" s="1070">
        <f>D11*E11</f>
        <v>0.13948102406997079</v>
      </c>
      <c r="I11" s="1107">
        <f>C11^2</f>
        <v>4.7955045431240143E-2</v>
      </c>
      <c r="J11" s="1070">
        <f>D11*D11</f>
        <v>5.5135975713918074E-2</v>
      </c>
      <c r="K11" s="1106">
        <f>E11^2</f>
        <v>0.35285411790938381</v>
      </c>
      <c r="L11" s="1110">
        <v>9</v>
      </c>
      <c r="M11" s="35">
        <v>0.24999999999999467</v>
      </c>
      <c r="N11" s="514">
        <v>4.8029208489796936E-2</v>
      </c>
      <c r="O11" s="36">
        <v>0.10718606337338279</v>
      </c>
      <c r="P11" s="37">
        <v>0.21321826226136395</v>
      </c>
      <c r="Q11" s="514">
        <v>5.1664350466168726E-2</v>
      </c>
      <c r="R11" s="36">
        <v>9.8899754816797081E-2</v>
      </c>
      <c r="S11" s="37">
        <v>7.0394065946543211E-2</v>
      </c>
      <c r="T11" s="514">
        <v>-2.3398211462883293E-2</v>
      </c>
      <c r="U11" s="36">
        <v>-1.5073429857744038E-2</v>
      </c>
      <c r="V11" s="37">
        <v>0.12986200538428702</v>
      </c>
      <c r="W11" s="1110">
        <v>9</v>
      </c>
      <c r="X11" s="1107">
        <v>-1.1260341991724834</v>
      </c>
      <c r="Y11" s="1070">
        <v>-1.1260341991724829</v>
      </c>
      <c r="Z11" s="1170">
        <v>-1.1260341991724829</v>
      </c>
      <c r="AA11" s="1107">
        <v>-0.95098402383940117</v>
      </c>
      <c r="AB11" s="1107">
        <v>-5.0674297531213108E-2</v>
      </c>
      <c r="AC11" s="1070">
        <v>-0.82739872275566273</v>
      </c>
      <c r="AD11" s="1070">
        <v>8.9279514491145795E-2</v>
      </c>
      <c r="AE11" s="1106">
        <v>-0.33724069337675289</v>
      </c>
      <c r="AF11" s="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" customHeight="1">
      <c r="A12" s="1110">
        <v>10</v>
      </c>
      <c r="B12" s="1169">
        <v>1</v>
      </c>
      <c r="C12" s="1107">
        <v>0.27252182165647554</v>
      </c>
      <c r="D12" s="1070">
        <v>-0.31618086200372297</v>
      </c>
      <c r="E12" s="1106">
        <v>-0.75060261331288913</v>
      </c>
      <c r="F12" s="1070">
        <f>C12*D12</f>
        <v>-8.6166184486169292E-2</v>
      </c>
      <c r="G12" s="1070">
        <f>C12*E12</f>
        <v>-0.20455559152013963</v>
      </c>
      <c r="H12" s="1070">
        <f>D12*E12</f>
        <v>0.23732618129951644</v>
      </c>
      <c r="I12" s="1107">
        <f>C12^2</f>
        <v>7.4268143278963861E-2</v>
      </c>
      <c r="J12" s="1070">
        <f>D12*D12</f>
        <v>9.9970337497417308E-2</v>
      </c>
      <c r="K12" s="1106">
        <f>E12^2</f>
        <v>0.56340428311213853</v>
      </c>
      <c r="L12" s="1110">
        <v>10</v>
      </c>
      <c r="M12" s="35">
        <v>0.24999999999999467</v>
      </c>
      <c r="N12" s="514">
        <v>0.21645366454640921</v>
      </c>
      <c r="O12" s="36">
        <v>-0.15437535853124201</v>
      </c>
      <c r="P12" s="37">
        <v>-0.32321529164572016</v>
      </c>
      <c r="Q12" s="514">
        <v>-0.15201979183906661</v>
      </c>
      <c r="R12" s="36">
        <v>-0.16191588343977964</v>
      </c>
      <c r="S12" s="37">
        <v>0.14986457631161557</v>
      </c>
      <c r="T12" s="514">
        <v>-3.981883477301737E-2</v>
      </c>
      <c r="U12" s="36">
        <v>-1.9010757492980736E-2</v>
      </c>
      <c r="V12" s="37">
        <v>0.20653822486558213</v>
      </c>
      <c r="W12" s="1110">
        <v>10</v>
      </c>
      <c r="X12" s="1107">
        <v>0.31827406119062729</v>
      </c>
      <c r="Y12" s="1070">
        <v>0.31827406119062795</v>
      </c>
      <c r="Z12" s="1168">
        <v>0.31827406119062773</v>
      </c>
      <c r="AA12" s="1107">
        <v>0.35081838182725833</v>
      </c>
      <c r="AB12" s="1107">
        <v>-5.0674297531213108E-2</v>
      </c>
      <c r="AC12" s="1070">
        <v>0.86438925803136768</v>
      </c>
      <c r="AD12" s="1070">
        <v>4.3529828080716995E-2</v>
      </c>
      <c r="AE12" s="1106">
        <v>-0.53897072739024354</v>
      </c>
      <c r="AF12" s="1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" customHeight="1">
      <c r="A13" s="1110">
        <v>11</v>
      </c>
      <c r="B13" s="1169">
        <v>1</v>
      </c>
      <c r="C13" s="1107">
        <v>0.34957494283961665</v>
      </c>
      <c r="D13" s="1070">
        <v>0.42187534097300783</v>
      </c>
      <c r="E13" s="1106">
        <v>0.91412826494046251</v>
      </c>
      <c r="F13" s="1070">
        <f>C13*D13</f>
        <v>0.14747704820608298</v>
      </c>
      <c r="G13" s="1070">
        <f>C13*E13</f>
        <v>0.31955633596464011</v>
      </c>
      <c r="H13" s="1070">
        <f>D13*E13</f>
        <v>0.38564817346482166</v>
      </c>
      <c r="I13" s="1107">
        <f>C13^2</f>
        <v>0.12220264066132125</v>
      </c>
      <c r="J13" s="1070">
        <f>D13*D13</f>
        <v>0.17797880332109162</v>
      </c>
      <c r="K13" s="1106">
        <f>E13^2</f>
        <v>0.83563048476306045</v>
      </c>
      <c r="L13" s="1110">
        <v>11</v>
      </c>
      <c r="M13" s="35">
        <v>0.24999999999999467</v>
      </c>
      <c r="N13" s="514">
        <v>7.9016566044355183E-2</v>
      </c>
      <c r="O13" s="36">
        <v>0.18876975120357856</v>
      </c>
      <c r="P13" s="37">
        <v>0.32876113784870953</v>
      </c>
      <c r="Q13" s="514">
        <v>0.13783517094252512</v>
      </c>
      <c r="R13" s="36">
        <v>0.2473863688676543</v>
      </c>
      <c r="S13" s="37">
        <v>0.1943119761973949</v>
      </c>
      <c r="T13" s="514">
        <v>-5.4744912327422471E-2</v>
      </c>
      <c r="U13" s="36">
        <v>-1.7259787968350197E-2</v>
      </c>
      <c r="V13" s="37">
        <v>0.3019704202841057</v>
      </c>
      <c r="W13" s="1110">
        <v>11</v>
      </c>
      <c r="X13" s="1107">
        <v>-1.9535112848071232</v>
      </c>
      <c r="Y13" s="1070">
        <v>-1.9535112848071237</v>
      </c>
      <c r="Z13" s="1168">
        <v>-1.9535112848071232</v>
      </c>
      <c r="AA13" s="1107">
        <v>-1.9668596840319863</v>
      </c>
      <c r="AB13" s="1107">
        <v>-5.0674297531213108E-2</v>
      </c>
      <c r="AC13" s="1070">
        <v>-1.3381435626165756</v>
      </c>
      <c r="AD13" s="1070">
        <v>0.25864659100971155</v>
      </c>
      <c r="AE13" s="1106">
        <v>-0.82334001566904647</v>
      </c>
      <c r="AF13" s="1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" customHeight="1">
      <c r="A14" s="1110">
        <v>12</v>
      </c>
      <c r="B14" s="1169">
        <v>1</v>
      </c>
      <c r="C14" s="1107">
        <v>0.42260051760695561</v>
      </c>
      <c r="D14" s="1070">
        <v>-0.99045098476443516</v>
      </c>
      <c r="E14" s="1106">
        <v>0.53747196361786442</v>
      </c>
      <c r="F14" s="1070">
        <f>C14*D14</f>
        <v>-0.4185650988257692</v>
      </c>
      <c r="G14" s="1070">
        <f>C14*E14</f>
        <v>0.22713593002413632</v>
      </c>
      <c r="H14" s="1070">
        <f>D14*E14</f>
        <v>-0.53233963564858844</v>
      </c>
      <c r="I14" s="1107">
        <f>C14^2</f>
        <v>0.1785911974816668</v>
      </c>
      <c r="J14" s="1070">
        <f>D14*D14</f>
        <v>0.98099315322083935</v>
      </c>
      <c r="K14" s="1106">
        <f>E14^2</f>
        <v>0.28887611167524296</v>
      </c>
      <c r="L14" s="1110">
        <v>12</v>
      </c>
      <c r="M14" s="35">
        <v>0.24999999999999467</v>
      </c>
      <c r="N14" s="514">
        <v>0.18106062395561145</v>
      </c>
      <c r="O14" s="36">
        <v>-0.38611351537409599</v>
      </c>
      <c r="P14" s="37">
        <v>0.13425103286602172</v>
      </c>
      <c r="Q14" s="514">
        <v>-0.20952199285080331</v>
      </c>
      <c r="R14" s="36">
        <v>6.3342528465241091E-2</v>
      </c>
      <c r="S14" s="37">
        <v>-0.24448306343670745</v>
      </c>
      <c r="T14" s="514">
        <v>-2.4267320288957561E-2</v>
      </c>
      <c r="U14" s="36">
        <v>0.35452680865173414</v>
      </c>
      <c r="V14" s="37">
        <v>4.6745668110388661E-4</v>
      </c>
      <c r="W14" s="1110">
        <v>12</v>
      </c>
      <c r="X14" s="1107">
        <v>-1.089307927489128</v>
      </c>
      <c r="Y14" s="1070">
        <v>-1.0893079274891257</v>
      </c>
      <c r="Z14" s="1168">
        <v>-1.0893079274891257</v>
      </c>
      <c r="AA14" s="1107">
        <v>-1.2202903819441207</v>
      </c>
      <c r="AB14" s="1107">
        <v>-5.0674297531213108E-2</v>
      </c>
      <c r="AC14" s="1070">
        <v>0.36724703757733812</v>
      </c>
      <c r="AD14" s="1070">
        <v>-0.68224858675697198</v>
      </c>
      <c r="AE14" s="1106">
        <v>-0.72363208077827879</v>
      </c>
      <c r="AF14" s="1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" customHeight="1">
      <c r="A15" s="1110">
        <v>13</v>
      </c>
      <c r="B15" s="1169">
        <v>1</v>
      </c>
      <c r="C15" s="1107">
        <v>0.66473949313124403</v>
      </c>
      <c r="D15" s="1070">
        <v>0.90704419806504544</v>
      </c>
      <c r="E15" s="1106">
        <v>-0.17702611159845816</v>
      </c>
      <c r="F15" s="1070">
        <f>C15*D15</f>
        <v>0.60294810046939407</v>
      </c>
      <c r="G15" s="1070">
        <f>C15*E15</f>
        <v>-0.11767624769495412</v>
      </c>
      <c r="H15" s="1070">
        <f>D15*E15</f>
        <v>-0.16057050743139673</v>
      </c>
      <c r="I15" s="1107">
        <f>C15^2</f>
        <v>0.44187859372838323</v>
      </c>
      <c r="J15" s="1070">
        <f>D15*D15</f>
        <v>0.8227291772434614</v>
      </c>
      <c r="K15" s="1106">
        <f>E15^2</f>
        <v>3.1338244187669763E-2</v>
      </c>
      <c r="L15" s="1110">
        <v>13</v>
      </c>
      <c r="M15" s="35">
        <v>0.24999999999999467</v>
      </c>
      <c r="N15" s="514">
        <v>0.33361563567998598</v>
      </c>
      <c r="O15" s="36">
        <v>0.34185131496805099</v>
      </c>
      <c r="P15" s="37">
        <v>-0.10424540702831792</v>
      </c>
      <c r="Q15" s="514">
        <v>0.48548778295696177</v>
      </c>
      <c r="R15" s="36">
        <v>6.1824029450319971E-2</v>
      </c>
      <c r="S15" s="37">
        <v>-0.17777702048975261</v>
      </c>
      <c r="T15" s="514">
        <v>0.17881392124089082</v>
      </c>
      <c r="U15" s="36">
        <v>0.28994066458323436</v>
      </c>
      <c r="V15" s="37">
        <v>-0.12252106763149549</v>
      </c>
      <c r="W15" s="1110">
        <v>13</v>
      </c>
      <c r="X15" s="1107">
        <v>-1.3032227103608458</v>
      </c>
      <c r="Y15" s="1070">
        <v>-1.3032227103608469</v>
      </c>
      <c r="Z15" s="1168">
        <v>-1.3032227103608478</v>
      </c>
      <c r="AA15" s="1107">
        <v>-1.2861078657132228</v>
      </c>
      <c r="AB15" s="1107">
        <v>-5.0674297531213108E-2</v>
      </c>
      <c r="AC15" s="1070">
        <v>-0.99281815973838206</v>
      </c>
      <c r="AD15" s="1070">
        <v>0.56483598542586444</v>
      </c>
      <c r="AE15" s="1106">
        <v>-0.82456623851711641</v>
      </c>
      <c r="AF15" s="1"/>
      <c r="AH15" s="1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" customHeight="1">
      <c r="A16" s="1110">
        <v>14</v>
      </c>
      <c r="B16" s="1169">
        <v>1</v>
      </c>
      <c r="C16" s="1107">
        <v>0.71547065309552593</v>
      </c>
      <c r="D16" s="1070">
        <v>-0.36222900302244687</v>
      </c>
      <c r="E16" s="1106">
        <v>0.70048797882984726</v>
      </c>
      <c r="F16" s="1070">
        <f>C16*D16</f>
        <v>-0.2591642213626113</v>
      </c>
      <c r="G16" s="1070">
        <f>C16*E16</f>
        <v>0.50117859169895573</v>
      </c>
      <c r="H16" s="1070">
        <f>D16*E16</f>
        <v>-0.25373706220074443</v>
      </c>
      <c r="I16" s="1107">
        <f>C16^2</f>
        <v>0.51189825544093837</v>
      </c>
      <c r="J16" s="1070">
        <f>D16*D16</f>
        <v>0.13120985063063584</v>
      </c>
      <c r="K16" s="1106">
        <f>E16^2</f>
        <v>0.49068340848512454</v>
      </c>
      <c r="L16" s="1110">
        <v>14</v>
      </c>
      <c r="M16" s="35">
        <v>0.24999999999999467</v>
      </c>
      <c r="N16" s="514">
        <v>0.30004638759201668</v>
      </c>
      <c r="O16" s="36">
        <v>-0.13716402407635045</v>
      </c>
      <c r="P16" s="37">
        <v>0.18753035817045755</v>
      </c>
      <c r="Q16" s="514">
        <v>-5.7001681870957499E-2</v>
      </c>
      <c r="R16" s="36">
        <v>0.28373423202756287</v>
      </c>
      <c r="S16" s="37">
        <v>-0.11228881026490506</v>
      </c>
      <c r="T16" s="514">
        <v>0.22366707767207461</v>
      </c>
      <c r="U16" s="36">
        <v>-4.015788245555018E-2</v>
      </c>
      <c r="V16" s="37">
        <v>0.1169152417187049</v>
      </c>
      <c r="W16" s="1110">
        <v>14</v>
      </c>
      <c r="X16" s="1107">
        <v>-2.0589060171845914</v>
      </c>
      <c r="Y16" s="1070">
        <v>-2.0589060171845901</v>
      </c>
      <c r="Z16" s="1168">
        <v>-2.0589060171845901</v>
      </c>
      <c r="AA16" s="1107">
        <v>-1.9174437409505205</v>
      </c>
      <c r="AB16" s="1107">
        <v>-5.0674297531213108E-2</v>
      </c>
      <c r="AC16" s="1070">
        <v>-0.50619685623141986</v>
      </c>
      <c r="AD16" s="1070">
        <v>-0.44859122665625062</v>
      </c>
      <c r="AE16" s="1106">
        <v>-1.0534436367657065</v>
      </c>
      <c r="AF16" s="1"/>
      <c r="AH16" s="1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5" ht="15" customHeight="1">
      <c r="A17" s="1110">
        <v>15</v>
      </c>
      <c r="B17" s="1169">
        <v>1</v>
      </c>
      <c r="C17" s="1107">
        <v>0.8129928058580278</v>
      </c>
      <c r="D17" s="1070">
        <v>0.18144018014291685</v>
      </c>
      <c r="E17" s="1106">
        <v>0.50727147336034251</v>
      </c>
      <c r="F17" s="1070">
        <f>C17*D17</f>
        <v>0.14750956114977598</v>
      </c>
      <c r="G17" s="1070">
        <f>C17*E17</f>
        <v>0.41240805845896067</v>
      </c>
      <c r="H17" s="1070">
        <f>D17*E17</f>
        <v>9.2039427507863397E-2</v>
      </c>
      <c r="I17" s="1107">
        <f>C17^2</f>
        <v>0.66095730237690886</v>
      </c>
      <c r="J17" s="1070">
        <f>D17*D17</f>
        <v>3.2920538970294115E-2</v>
      </c>
      <c r="K17" s="1106">
        <f>E17^2</f>
        <v>0.25732434768517265</v>
      </c>
      <c r="L17" s="1110">
        <v>15</v>
      </c>
      <c r="M17" s="35">
        <v>0.24999999999999467</v>
      </c>
      <c r="N17" s="514">
        <v>0.35682393945745688</v>
      </c>
      <c r="O17" s="36">
        <v>7.1191828809801877E-2</v>
      </c>
      <c r="P17" s="37">
        <v>0.12086999508284187</v>
      </c>
      <c r="Q17" s="514">
        <v>0.20217137586844863</v>
      </c>
      <c r="R17" s="36">
        <v>0.31390354671751053</v>
      </c>
      <c r="S17" s="37">
        <v>2.6228558602303526E-2</v>
      </c>
      <c r="T17" s="514">
        <v>0.35096608137033025</v>
      </c>
      <c r="U17" s="36">
        <v>-7.2061415322361308E-2</v>
      </c>
      <c r="V17" s="37">
        <v>1.3030296361645127E-2</v>
      </c>
      <c r="W17" s="1110">
        <v>15</v>
      </c>
      <c r="X17" s="1107">
        <v>-1.8881987743397417</v>
      </c>
      <c r="Y17" s="1070">
        <v>-1.8881987743397419</v>
      </c>
      <c r="Z17" s="1168">
        <v>-1.8881987743397419</v>
      </c>
      <c r="AA17" s="1107">
        <v>-2.0421633843896085</v>
      </c>
      <c r="AB17" s="1107">
        <v>-5.0674297531213108E-2</v>
      </c>
      <c r="AC17" s="1070">
        <v>-0.91610142639137604</v>
      </c>
      <c r="AD17" s="1070">
        <v>0.12212254379212248</v>
      </c>
      <c r="AE17" s="1106">
        <v>-1.0435455942092753</v>
      </c>
      <c r="AF17" s="1"/>
      <c r="AH17" s="1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5" ht="15" customHeight="1">
      <c r="A18" s="1102">
        <v>16</v>
      </c>
      <c r="B18" s="1167">
        <v>1</v>
      </c>
      <c r="C18" s="1099">
        <v>0.96000519862989342</v>
      </c>
      <c r="D18" s="1087">
        <v>-0.68741983103466464</v>
      </c>
      <c r="E18" s="1098">
        <v>0.85407793747966454</v>
      </c>
      <c r="F18" s="1087">
        <f>C18*D18</f>
        <v>-0.65992661143456099</v>
      </c>
      <c r="G18" s="1087">
        <f>C18*E18</f>
        <v>0.81991926001557502</v>
      </c>
      <c r="H18" s="1087">
        <f>D18*E18</f>
        <v>-0.58711011147270586</v>
      </c>
      <c r="I18" s="1099">
        <f>C18^2</f>
        <v>0.92160998139642114</v>
      </c>
      <c r="J18" s="1087">
        <f>D18*D18</f>
        <v>0.4725460240997269</v>
      </c>
      <c r="K18" s="1098">
        <f>E18^2</f>
        <v>0.72944912328951772</v>
      </c>
      <c r="L18" s="1102">
        <v>16</v>
      </c>
      <c r="M18" s="64">
        <v>0.24999999999999467</v>
      </c>
      <c r="N18" s="512">
        <v>0.41501091740286911</v>
      </c>
      <c r="O18" s="65">
        <v>-0.26679231736046577</v>
      </c>
      <c r="P18" s="66">
        <v>0.21261300828510776</v>
      </c>
      <c r="Q18" s="512">
        <v>-0.25974762111780353</v>
      </c>
      <c r="R18" s="65">
        <v>0.41130746676355512</v>
      </c>
      <c r="S18" s="66">
        <v>-0.24720944102690409</v>
      </c>
      <c r="T18" s="512">
        <v>0.40100324050889075</v>
      </c>
      <c r="U18" s="65">
        <v>3.8005276037541003E-2</v>
      </c>
      <c r="V18" s="66">
        <v>0.12672439553205</v>
      </c>
      <c r="W18" s="1102">
        <v>16</v>
      </c>
      <c r="X18" s="1099">
        <v>-3.3512063580679587</v>
      </c>
      <c r="Y18" s="1087">
        <v>-3.3512063580679565</v>
      </c>
      <c r="Z18" s="1166">
        <v>-3.3512063580679556</v>
      </c>
      <c r="AA18" s="1099">
        <v>-3.322672064782755</v>
      </c>
      <c r="AB18" s="1099">
        <v>-5.0674297531213108E-2</v>
      </c>
      <c r="AC18" s="1087">
        <v>-0.40445797176866816</v>
      </c>
      <c r="AD18" s="1087">
        <v>-1.0449067868104556</v>
      </c>
      <c r="AE18" s="1098">
        <v>-1.8511673019576196</v>
      </c>
      <c r="AH18" s="1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5" ht="15" customHeight="1">
      <c r="B19" s="1095" t="s">
        <v>391</v>
      </c>
      <c r="C19" s="1097"/>
      <c r="D19" s="1097"/>
      <c r="E19" s="1097"/>
      <c r="F19" s="1097"/>
      <c r="G19" s="1097"/>
      <c r="H19" s="1097"/>
      <c r="I19" s="1097"/>
      <c r="J19" s="1097"/>
      <c r="K19" s="663"/>
      <c r="L19" s="1165"/>
      <c r="M19" s="1095" t="s">
        <v>390</v>
      </c>
      <c r="N19" s="1097"/>
      <c r="O19" s="1097"/>
      <c r="P19" s="1097"/>
      <c r="Q19" s="1097"/>
      <c r="R19" s="1097"/>
      <c r="S19" s="1097"/>
      <c r="T19" s="1097"/>
      <c r="U19" s="1097"/>
      <c r="V19" s="663"/>
      <c r="W19" s="1129" t="s">
        <v>389</v>
      </c>
      <c r="X19" s="1139" t="s">
        <v>388</v>
      </c>
      <c r="Y19" s="1126" t="s">
        <v>387</v>
      </c>
      <c r="Z19" s="796" t="s">
        <v>386</v>
      </c>
      <c r="AB19" s="1095" t="s">
        <v>385</v>
      </c>
      <c r="AC19" s="1164"/>
      <c r="AD19" s="1164"/>
      <c r="AE19" s="1163"/>
      <c r="AF19" s="1"/>
      <c r="AH19" s="1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5" ht="15" customHeight="1">
      <c r="A20" s="1125" t="s">
        <v>378</v>
      </c>
      <c r="B20" s="1162">
        <v>0</v>
      </c>
      <c r="C20" s="1162">
        <v>1</v>
      </c>
      <c r="D20" s="1161">
        <v>2</v>
      </c>
      <c r="E20" s="1160">
        <v>3</v>
      </c>
      <c r="F20" s="1161">
        <v>12</v>
      </c>
      <c r="G20" s="1161">
        <v>13</v>
      </c>
      <c r="H20" s="1161">
        <v>23</v>
      </c>
      <c r="I20" s="1162">
        <v>11</v>
      </c>
      <c r="J20" s="1161">
        <v>22</v>
      </c>
      <c r="K20" s="1160">
        <v>33</v>
      </c>
      <c r="L20" s="1134" t="s">
        <v>378</v>
      </c>
      <c r="M20" s="1162">
        <v>0</v>
      </c>
      <c r="N20" s="1162">
        <v>1</v>
      </c>
      <c r="O20" s="1161">
        <v>2</v>
      </c>
      <c r="P20" s="1160">
        <v>3</v>
      </c>
      <c r="Q20" s="1161">
        <v>12</v>
      </c>
      <c r="R20" s="1161">
        <v>13</v>
      </c>
      <c r="S20" s="1161">
        <v>23</v>
      </c>
      <c r="T20" s="1162">
        <v>11</v>
      </c>
      <c r="U20" s="1161">
        <v>22</v>
      </c>
      <c r="V20" s="1160">
        <v>33</v>
      </c>
      <c r="W20" s="1134">
        <v>0</v>
      </c>
      <c r="X20" s="1159">
        <f t="array" ref="X20:X29">MMULT(Samek,a)</f>
        <v>-0.20269719012485243</v>
      </c>
      <c r="Y20" s="1158">
        <f t="array" ref="Y20:Y29">MMULT([1]!PseudoInv(X),y)</f>
        <v>-5.0674297531213108E-2</v>
      </c>
      <c r="Z20" s="1157">
        <f t="array" ref="Z20:Z29">MMULT(MINVERSE(ͶS_adj_Inv),a)</f>
        <v>-0.20269719012485676</v>
      </c>
      <c r="AB20" s="1156">
        <f t="array" ref="AB20:AE23">[1]!CHOL(MMULT(TRANSPOSE(U),U))</f>
        <v>0.20269719012485243</v>
      </c>
      <c r="AC20" s="1155">
        <v>0</v>
      </c>
      <c r="AD20" s="1155">
        <v>0</v>
      </c>
      <c r="AE20" s="1154">
        <v>0</v>
      </c>
      <c r="AH20" s="1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5" ht="15" customHeight="1">
      <c r="A21" s="1121">
        <v>0</v>
      </c>
      <c r="B21" s="1149">
        <f t="array" ref="B21:K30">MMULT(TRANSPOSE(X),X)</f>
        <v>16</v>
      </c>
      <c r="C21" s="1149">
        <v>1.4410024982184835</v>
      </c>
      <c r="D21" s="1148">
        <v>-1.7210351307042333</v>
      </c>
      <c r="E21" s="1147">
        <v>1.942373100392619</v>
      </c>
      <c r="F21" s="1148">
        <v>0.19599116849131026</v>
      </c>
      <c r="G21" s="1148">
        <v>2.3593641533042913</v>
      </c>
      <c r="H21" s="1148">
        <v>-0.8890676398593047</v>
      </c>
      <c r="I21" s="1149">
        <v>4.3325991726021851</v>
      </c>
      <c r="J21" s="1148">
        <v>6.0240970427511691</v>
      </c>
      <c r="K21" s="1147">
        <v>7.4140813907411642</v>
      </c>
      <c r="L21" s="1150">
        <v>0</v>
      </c>
      <c r="M21" s="1149">
        <f t="array" ref="M21:V30">MMULT(TRANSPOSE(Q_adj),Q_adj)</f>
        <v>0.99999999999995737</v>
      </c>
      <c r="N21" s="1149">
        <v>0.14325718306367696</v>
      </c>
      <c r="O21" s="1148">
        <v>-0.16358865288594523</v>
      </c>
      <c r="P21" s="1147">
        <v>0.13764481804377163</v>
      </c>
      <c r="Q21" s="1148">
        <v>0.20917687929865286</v>
      </c>
      <c r="R21" s="1148">
        <v>0.41532067754244706</v>
      </c>
      <c r="S21" s="1148">
        <v>-0.14024185043251841</v>
      </c>
      <c r="T21" s="1149">
        <v>0.25197825537894786</v>
      </c>
      <c r="U21" s="1148">
        <v>0.33731052885723339</v>
      </c>
      <c r="V21" s="1147">
        <v>0.45904403087462092</v>
      </c>
      <c r="W21" s="1134">
        <v>1</v>
      </c>
      <c r="X21" s="1070">
        <v>-1.2381240806557645</v>
      </c>
      <c r="Y21" s="1107">
        <v>-0.36506925931967082</v>
      </c>
      <c r="Z21" s="1114">
        <v>-1.2809507736237551</v>
      </c>
      <c r="AB21" s="1145">
        <v>0.12295875368008388</v>
      </c>
      <c r="AC21" s="1144">
        <v>3.4899839256799114</v>
      </c>
      <c r="AD21" s="1144">
        <v>0</v>
      </c>
      <c r="AE21" s="1143">
        <v>0</v>
      </c>
      <c r="AH21" s="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5" ht="15" customHeight="1">
      <c r="A22" s="1121">
        <v>1</v>
      </c>
      <c r="B22" s="1113">
        <v>1.4410024982184835</v>
      </c>
      <c r="C22" s="1113">
        <v>4.3325991726021851</v>
      </c>
      <c r="D22" s="1112">
        <v>0.19599116849131026</v>
      </c>
      <c r="E22" s="1111">
        <v>2.3593641533042913</v>
      </c>
      <c r="F22" s="1112">
        <v>-0.87120911014316227</v>
      </c>
      <c r="G22" s="1112">
        <v>1.6232586111384366</v>
      </c>
      <c r="H22" s="1112">
        <v>-0.31727845077454947</v>
      </c>
      <c r="I22" s="1113">
        <v>1.4840308378206493</v>
      </c>
      <c r="J22" s="1112">
        <v>0.40336938792357252</v>
      </c>
      <c r="K22" s="1111">
        <v>0.33903190488422269</v>
      </c>
      <c r="L22" s="1131">
        <v>1</v>
      </c>
      <c r="M22" s="1113">
        <v>0.14325718306367696</v>
      </c>
      <c r="N22" s="1113">
        <v>0.93425076077416769</v>
      </c>
      <c r="O22" s="1112">
        <v>3.7470027081099033E-16</v>
      </c>
      <c r="P22" s="1111">
        <v>-1.3877787807814457E-17</v>
      </c>
      <c r="Q22" s="1112">
        <v>-0.14960817262838425</v>
      </c>
      <c r="R22" s="1112">
        <v>0.44228708671792327</v>
      </c>
      <c r="S22" s="1112">
        <v>3.3869378095382943E-2</v>
      </c>
      <c r="T22" s="1113">
        <v>0.31527936095883669</v>
      </c>
      <c r="U22" s="1112">
        <v>3.0098527051877193E-2</v>
      </c>
      <c r="V22" s="1111">
        <v>-4.5723884384306884E-2</v>
      </c>
      <c r="W22" s="1091">
        <v>2</v>
      </c>
      <c r="X22" s="1070">
        <v>-2.3043283801152148</v>
      </c>
      <c r="Y22" s="1107">
        <v>-0.99577683816270857</v>
      </c>
      <c r="Z22" s="1106">
        <v>-2.3840350634553471</v>
      </c>
      <c r="AB22" s="1145">
        <v>0.13661959753251035</v>
      </c>
      <c r="AC22" s="1144">
        <v>0.23751839329746016</v>
      </c>
      <c r="AD22" s="1144">
        <v>1.8086314205294347</v>
      </c>
      <c r="AE22" s="1143">
        <v>0</v>
      </c>
      <c r="AH22" s="1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5" ht="15" customHeight="1">
      <c r="A23" s="1110">
        <v>2</v>
      </c>
      <c r="B23" s="1113">
        <v>-1.7210351307042333</v>
      </c>
      <c r="C23" s="1113">
        <v>0.19599116849131026</v>
      </c>
      <c r="D23" s="1112">
        <v>6.0240970427511691</v>
      </c>
      <c r="E23" s="1111">
        <v>-0.8890676398593047</v>
      </c>
      <c r="F23" s="1112">
        <v>0.40336938792357263</v>
      </c>
      <c r="G23" s="1112">
        <v>-0.31727845077454941</v>
      </c>
      <c r="H23" s="1112">
        <v>-0.10962516330144956</v>
      </c>
      <c r="I23" s="1113">
        <v>-0.87120911014316227</v>
      </c>
      <c r="J23" s="1112">
        <v>-1.5921162580387747</v>
      </c>
      <c r="K23" s="1111">
        <v>-1.3045057769577635</v>
      </c>
      <c r="L23" s="1131">
        <v>2</v>
      </c>
      <c r="M23" s="1113">
        <v>-0.16358865288594523</v>
      </c>
      <c r="N23" s="1113">
        <v>3.7470027081099033E-16</v>
      </c>
      <c r="O23" s="1112">
        <v>0.93425076077416802</v>
      </c>
      <c r="P23" s="1111">
        <v>1.2490009027033011E-16</v>
      </c>
      <c r="Q23" s="1112">
        <v>0.11340404881412386</v>
      </c>
      <c r="R23" s="1112">
        <v>-6.1300587912865745E-2</v>
      </c>
      <c r="S23" s="1112">
        <v>-6.6755508360609325E-2</v>
      </c>
      <c r="T23" s="1113">
        <v>-6.5086474576389219E-2</v>
      </c>
      <c r="U23" s="1112">
        <v>-0.18381706561634928</v>
      </c>
      <c r="V23" s="1111">
        <v>-0.10039920781838972</v>
      </c>
      <c r="W23" s="1088">
        <v>3</v>
      </c>
      <c r="X23" s="1070">
        <v>-2.3134878720465837</v>
      </c>
      <c r="Y23" s="1107">
        <v>-0.8646825990835818</v>
      </c>
      <c r="Z23" s="1098">
        <v>-2.3935113820721963</v>
      </c>
      <c r="AB23" s="1142">
        <v>3.1837749937658102</v>
      </c>
      <c r="AC23" s="1141">
        <v>9.943498129811908E-3</v>
      </c>
      <c r="AD23" s="1141">
        <v>0.63793544679555969</v>
      </c>
      <c r="AE23" s="1140">
        <v>1.4616798598991949</v>
      </c>
      <c r="AH23" s="1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5" ht="15" customHeight="1">
      <c r="A24" s="1102">
        <v>3</v>
      </c>
      <c r="B24" s="1113">
        <v>1.942373100392619</v>
      </c>
      <c r="C24" s="1113">
        <v>2.3593641533042913</v>
      </c>
      <c r="D24" s="1112">
        <v>-0.8890676398593047</v>
      </c>
      <c r="E24" s="1111">
        <v>7.4140813907411642</v>
      </c>
      <c r="F24" s="1112">
        <v>-0.31727845077454953</v>
      </c>
      <c r="G24" s="1112">
        <v>0.33903190488422286</v>
      </c>
      <c r="H24" s="1112">
        <v>-1.3045057769577633</v>
      </c>
      <c r="I24" s="1113">
        <v>1.6232586111384366</v>
      </c>
      <c r="J24" s="1112">
        <v>-0.10962516330144956</v>
      </c>
      <c r="K24" s="1111">
        <v>0.5601093506545427</v>
      </c>
      <c r="L24" s="1131">
        <v>3</v>
      </c>
      <c r="M24" s="1113">
        <v>0.13764481804377163</v>
      </c>
      <c r="N24" s="1113">
        <v>-1.3877787807814457E-17</v>
      </c>
      <c r="O24" s="1112">
        <v>1.2490009027033011E-16</v>
      </c>
      <c r="P24" s="1111">
        <v>0.93425076077416891</v>
      </c>
      <c r="Q24" s="1112">
        <v>4.0015697470295757E-2</v>
      </c>
      <c r="R24" s="1112">
        <v>-2.5750461401767719E-2</v>
      </c>
      <c r="S24" s="1112">
        <v>-0.2642984163169827</v>
      </c>
      <c r="T24" s="1113">
        <v>0.25779492087753308</v>
      </c>
      <c r="U24" s="1112">
        <v>-0.10774475605894267</v>
      </c>
      <c r="V24" s="1111">
        <v>9.5047743660805588E-3</v>
      </c>
      <c r="W24" s="1134">
        <v>12</v>
      </c>
      <c r="X24" s="1115">
        <v>1.4103150493355061</v>
      </c>
      <c r="Y24" s="1116">
        <v>1.0160037506531889</v>
      </c>
      <c r="Z24" s="1114">
        <v>1.6828533291419434</v>
      </c>
      <c r="AB24" s="1129" t="s">
        <v>384</v>
      </c>
      <c r="AC24" s="1139" t="s">
        <v>383</v>
      </c>
      <c r="AD24" s="1138" t="s">
        <v>382</v>
      </c>
      <c r="AE24" s="1178" t="s">
        <v>386</v>
      </c>
      <c r="AH24" s="1"/>
      <c r="AI24"/>
      <c r="AJ24"/>
      <c r="AK24"/>
      <c r="AL24"/>
      <c r="AM24"/>
      <c r="AN24"/>
      <c r="AO24"/>
      <c r="AP24"/>
      <c r="AQ24"/>
      <c r="AR24"/>
    </row>
    <row r="25" spans="1:55" ht="15" customHeight="1">
      <c r="A25" s="1110">
        <v>12</v>
      </c>
      <c r="B25" s="1119">
        <v>0.19599116849131026</v>
      </c>
      <c r="C25" s="1119">
        <v>-0.87120911014316227</v>
      </c>
      <c r="D25" s="1118">
        <v>0.40336938792357263</v>
      </c>
      <c r="E25" s="1117">
        <v>-0.31727845077454953</v>
      </c>
      <c r="F25" s="1118">
        <v>1.6991802066548478</v>
      </c>
      <c r="G25" s="1118">
        <v>-1.0651842666249405</v>
      </c>
      <c r="H25" s="1118">
        <v>0.85481773688306806</v>
      </c>
      <c r="I25" s="1119">
        <v>-0.11809819573041391</v>
      </c>
      <c r="J25" s="1118">
        <v>0.2642370873155086</v>
      </c>
      <c r="K25" s="1117">
        <v>-0.34471129133143097</v>
      </c>
      <c r="L25" s="1137">
        <v>12</v>
      </c>
      <c r="M25" s="1119">
        <v>0.20917687929865286</v>
      </c>
      <c r="N25" s="1119">
        <v>-0.14960817262838425</v>
      </c>
      <c r="O25" s="1118">
        <v>0.11340404881412386</v>
      </c>
      <c r="P25" s="1117">
        <v>4.0015697470295757E-2</v>
      </c>
      <c r="Q25" s="1118">
        <v>0.70232762008310579</v>
      </c>
      <c r="R25" s="1118">
        <v>-2.0816681711721685E-16</v>
      </c>
      <c r="S25" s="1118">
        <v>3.0531133177191805E-16</v>
      </c>
      <c r="T25" s="1119">
        <v>0.12664618546949136</v>
      </c>
      <c r="U25" s="1118">
        <v>0.15587543693377309</v>
      </c>
      <c r="V25" s="1117">
        <v>-2.249689847173544E-2</v>
      </c>
      <c r="W25" s="1091">
        <v>13</v>
      </c>
      <c r="X25" s="1070">
        <v>-0.66236204123477138</v>
      </c>
      <c r="Y25" s="1107">
        <v>-0.15980243152196349</v>
      </c>
      <c r="Z25" s="1106">
        <v>-0.79036110882768928</v>
      </c>
      <c r="AA25" s="1069">
        <v>0</v>
      </c>
      <c r="AB25" s="1135">
        <f t="array" ref="AB25:AB28">MMULT(L_T,b)</f>
        <v>0.20269719012485676</v>
      </c>
      <c r="AC25" s="1136">
        <f>p_0^2</f>
        <v>4.1086150884510578E-2</v>
      </c>
      <c r="AD25" s="1135">
        <f>SQRT(AC25)/AB25</f>
        <v>0.99999999999997868</v>
      </c>
      <c r="AE25" s="1179">
        <f t="array" ref="AE25:AE28">MMULT([1]!PseudoInv(U),y)</f>
        <v>1.0000000000000213</v>
      </c>
      <c r="AH25" s="1"/>
      <c r="AI25"/>
      <c r="AJ25"/>
      <c r="AK25"/>
      <c r="AL25"/>
      <c r="AM25"/>
      <c r="AN25"/>
      <c r="AO25"/>
      <c r="AP25"/>
      <c r="AQ25"/>
      <c r="AR25"/>
    </row>
    <row r="26" spans="1:55" ht="15" customHeight="1">
      <c r="A26" s="1110">
        <v>13</v>
      </c>
      <c r="B26" s="1113">
        <v>2.3593641533042913</v>
      </c>
      <c r="C26" s="1113">
        <v>1.6232586111384366</v>
      </c>
      <c r="D26" s="1112">
        <v>-0.31727845077454941</v>
      </c>
      <c r="E26" s="1111">
        <v>0.33903190488422286</v>
      </c>
      <c r="F26" s="1112">
        <v>-1.0651842666249405</v>
      </c>
      <c r="G26" s="1112">
        <v>2.0431896268456136</v>
      </c>
      <c r="H26" s="1112">
        <v>-0.34471129133143097</v>
      </c>
      <c r="I26" s="1113">
        <v>1.1778977246879991</v>
      </c>
      <c r="J26" s="1112">
        <v>0.85481773688306784</v>
      </c>
      <c r="K26" s="1111">
        <v>1.6257721806567833</v>
      </c>
      <c r="L26" s="1131">
        <v>13</v>
      </c>
      <c r="M26" s="1113">
        <v>0.41532067754244706</v>
      </c>
      <c r="N26" s="1113">
        <v>0.44228708671792327</v>
      </c>
      <c r="O26" s="1112">
        <v>-6.1300587912865745E-2</v>
      </c>
      <c r="P26" s="1111">
        <v>-2.5750461401767719E-2</v>
      </c>
      <c r="Q26" s="1112">
        <v>-2.0816681711721685E-16</v>
      </c>
      <c r="R26" s="1112">
        <v>0.7023276200831049</v>
      </c>
      <c r="S26" s="1112">
        <v>-1.3877787807814457E-16</v>
      </c>
      <c r="T26" s="1113">
        <v>0.26530479016705433</v>
      </c>
      <c r="U26" s="1112">
        <v>9.4241298924071543E-2</v>
      </c>
      <c r="V26" s="1111">
        <v>0.24910321318248688</v>
      </c>
      <c r="W26" s="1088">
        <v>23</v>
      </c>
      <c r="X26" s="1087">
        <v>0.95839214565853292</v>
      </c>
      <c r="Y26" s="1099">
        <v>0.41456241048955111</v>
      </c>
      <c r="Z26" s="1098">
        <v>1.1435979596933796</v>
      </c>
      <c r="AA26" s="1069">
        <v>1</v>
      </c>
      <c r="AB26" s="1078">
        <v>3.612942679359997</v>
      </c>
      <c r="AC26" s="1133">
        <f>SUMSQ(p_1)</f>
        <v>12.195106656610722</v>
      </c>
      <c r="AD26" s="1078">
        <f>SQRT(AC26)/AB26</f>
        <v>0.96656648026618863</v>
      </c>
      <c r="AE26" s="1180">
        <v>0.99999999999999978</v>
      </c>
      <c r="AH26" s="1071"/>
      <c r="AI26"/>
      <c r="AJ26"/>
      <c r="AK26"/>
      <c r="AL26"/>
      <c r="AM26"/>
      <c r="AN26"/>
      <c r="AO26"/>
      <c r="AP26"/>
      <c r="AQ26"/>
      <c r="AR26"/>
      <c r="AT26" s="1069"/>
      <c r="AU26" s="1069"/>
      <c r="AV26" s="1069"/>
    </row>
    <row r="27" spans="1:55" ht="15" customHeight="1">
      <c r="A27" s="1110">
        <v>23</v>
      </c>
      <c r="B27" s="1105">
        <v>-0.8890676398593047</v>
      </c>
      <c r="C27" s="1105">
        <v>-0.31727845077454947</v>
      </c>
      <c r="D27" s="1104">
        <v>-0.10962516330144956</v>
      </c>
      <c r="E27" s="1103">
        <v>-1.3045057769577633</v>
      </c>
      <c r="F27" s="1104">
        <v>0.85481773688306806</v>
      </c>
      <c r="G27" s="1104">
        <v>-0.34471129133143097</v>
      </c>
      <c r="H27" s="1104">
        <v>2.4926773294917579</v>
      </c>
      <c r="I27" s="1105">
        <v>-1.0651842666249403</v>
      </c>
      <c r="J27" s="1104">
        <v>-0.5923813674597338</v>
      </c>
      <c r="K27" s="1103">
        <v>-0.49351528545364509</v>
      </c>
      <c r="L27" s="1130">
        <v>23</v>
      </c>
      <c r="M27" s="1105">
        <v>-0.14024185043251841</v>
      </c>
      <c r="N27" s="1105">
        <v>3.3869378095382943E-2</v>
      </c>
      <c r="O27" s="1104">
        <v>-6.6755508360609325E-2</v>
      </c>
      <c r="P27" s="1103">
        <v>-0.2642984163169827</v>
      </c>
      <c r="Q27" s="1104">
        <v>3.0531133177191805E-16</v>
      </c>
      <c r="R27" s="1104">
        <v>-1.3877787807814457E-16</v>
      </c>
      <c r="S27" s="1104">
        <v>0.70232762008310456</v>
      </c>
      <c r="T27" s="1105">
        <v>-0.28482607617554501</v>
      </c>
      <c r="U27" s="1104">
        <v>-7.7119815832785835E-2</v>
      </c>
      <c r="V27" s="1103">
        <v>1.5514291309526501E-2</v>
      </c>
      <c r="W27" s="1134">
        <v>11</v>
      </c>
      <c r="X27" s="1070">
        <v>-2.2264886851533001</v>
      </c>
      <c r="Y27" s="1107">
        <v>-1.2775166609563549</v>
      </c>
      <c r="Z27" s="1114">
        <v>-3.309712641841263</v>
      </c>
      <c r="AA27" s="1069">
        <v>2</v>
      </c>
      <c r="AB27" s="1078">
        <v>2.1827694113594127</v>
      </c>
      <c r="AC27" s="1133">
        <f>SUMSQ(p_2)</f>
        <v>3.3462275169108704</v>
      </c>
      <c r="AD27" s="1078">
        <f>SQRT(AC27)/AB27</f>
        <v>0.83804989116585715</v>
      </c>
      <c r="AE27" s="1180">
        <v>1.0000000000000027</v>
      </c>
      <c r="AH27" s="1071"/>
      <c r="AI27"/>
      <c r="AJ27"/>
      <c r="AK27"/>
      <c r="AL27"/>
      <c r="AM27"/>
      <c r="AN27"/>
      <c r="AO27"/>
      <c r="AP27"/>
      <c r="AQ27"/>
      <c r="AR27"/>
      <c r="AT27" s="1069"/>
      <c r="AU27" s="1069"/>
      <c r="AV27" s="1069"/>
    </row>
    <row r="28" spans="1:55" ht="15" customHeight="1">
      <c r="A28" s="1121">
        <v>11</v>
      </c>
      <c r="B28" s="1113">
        <v>4.3325991726021851</v>
      </c>
      <c r="C28" s="1113">
        <v>1.4840308378206493</v>
      </c>
      <c r="D28" s="1112">
        <v>-0.87120911014316227</v>
      </c>
      <c r="E28" s="1111">
        <v>1.6232586111384366</v>
      </c>
      <c r="F28" s="1112">
        <v>-0.11809819573041391</v>
      </c>
      <c r="G28" s="1112">
        <v>1.1778977246879991</v>
      </c>
      <c r="H28" s="1112">
        <v>-1.0651842666249403</v>
      </c>
      <c r="I28" s="1113">
        <v>2.2572909170230613</v>
      </c>
      <c r="J28" s="1112">
        <v>1.6991802066548478</v>
      </c>
      <c r="K28" s="1111">
        <v>2.0431896268456136</v>
      </c>
      <c r="L28" s="1131">
        <v>11</v>
      </c>
      <c r="M28" s="1113">
        <v>0.25197825537894786</v>
      </c>
      <c r="N28" s="1113">
        <v>0.31527936095883669</v>
      </c>
      <c r="O28" s="1112">
        <v>-6.5086474576389219E-2</v>
      </c>
      <c r="P28" s="1111">
        <v>0.25779492087753308</v>
      </c>
      <c r="Q28" s="1112">
        <v>0.12664618546949136</v>
      </c>
      <c r="R28" s="1112">
        <v>0.26530479016705433</v>
      </c>
      <c r="S28" s="1112">
        <v>-0.28482607617554501</v>
      </c>
      <c r="T28" s="1113">
        <v>0.45254357904549136</v>
      </c>
      <c r="U28" s="1112">
        <v>-8.1185058675714572E-16</v>
      </c>
      <c r="V28" s="1111">
        <v>-1.2490009027033011E-16</v>
      </c>
      <c r="W28" s="1091">
        <v>22</v>
      </c>
      <c r="X28" s="1070">
        <v>-1.5224272719518666</v>
      </c>
      <c r="Y28" s="1107">
        <v>-0.28801554828020803</v>
      </c>
      <c r="Z28" s="1106">
        <v>-2.2631135841213874</v>
      </c>
      <c r="AA28" s="1069">
        <v>3</v>
      </c>
      <c r="AB28" s="1074">
        <v>5.2933337985904449</v>
      </c>
      <c r="AC28" s="1132">
        <f>SUMSQ(p_3)</f>
        <v>12.679991731196722</v>
      </c>
      <c r="AD28" s="1074">
        <f>SQRT(AC28)/AB28</f>
        <v>0.67271359362323901</v>
      </c>
      <c r="AE28" s="1181">
        <v>0.99999999999999922</v>
      </c>
      <c r="AH28" s="1071"/>
      <c r="AI28"/>
      <c r="AJ28"/>
      <c r="AK28"/>
      <c r="AL28"/>
      <c r="AM28"/>
      <c r="AN28"/>
      <c r="AO28"/>
      <c r="AP28"/>
      <c r="AQ28"/>
      <c r="AR28"/>
      <c r="AT28" s="1069"/>
      <c r="AU28" s="1069"/>
      <c r="AV28" s="1069"/>
    </row>
    <row r="29" spans="1:55" ht="15" customHeight="1">
      <c r="A29" s="1110">
        <v>22</v>
      </c>
      <c r="B29" s="1113">
        <v>6.0240970427511691</v>
      </c>
      <c r="C29" s="1113">
        <v>0.40336938792357252</v>
      </c>
      <c r="D29" s="1112">
        <v>-1.5921162580387747</v>
      </c>
      <c r="E29" s="1111">
        <v>-0.10962516330144956</v>
      </c>
      <c r="F29" s="1112">
        <v>0.2642370873155086</v>
      </c>
      <c r="G29" s="1112">
        <v>0.85481773688306784</v>
      </c>
      <c r="H29" s="1112">
        <v>-0.5923813674597338</v>
      </c>
      <c r="I29" s="1113">
        <v>1.6991802066548478</v>
      </c>
      <c r="J29" s="1112">
        <v>4.096052740414045</v>
      </c>
      <c r="K29" s="1111">
        <v>2.4926773294917579</v>
      </c>
      <c r="L29" s="1131">
        <v>22</v>
      </c>
      <c r="M29" s="1113">
        <v>0.33731052885723339</v>
      </c>
      <c r="N29" s="1113">
        <v>3.0098527051877193E-2</v>
      </c>
      <c r="O29" s="1112">
        <v>-0.18381706561634928</v>
      </c>
      <c r="P29" s="1111">
        <v>-0.10774475605894267</v>
      </c>
      <c r="Q29" s="1112">
        <v>0.15587543693377309</v>
      </c>
      <c r="R29" s="1112">
        <v>9.4241298924071543E-2</v>
      </c>
      <c r="S29" s="1112">
        <v>-7.7119815832785835E-2</v>
      </c>
      <c r="T29" s="1113">
        <v>-8.1185058675714572E-16</v>
      </c>
      <c r="U29" s="1112">
        <v>0.45254357904549108</v>
      </c>
      <c r="V29" s="1111">
        <v>4.7184478546569153E-16</v>
      </c>
      <c r="W29" s="1088">
        <v>33</v>
      </c>
      <c r="X29" s="1087">
        <v>-2.3248559240731987</v>
      </c>
      <c r="Y29" s="1099">
        <v>-0.7371241892464232</v>
      </c>
      <c r="Z29" s="1098">
        <v>-3.4559371865098076</v>
      </c>
      <c r="AH29" s="1071"/>
    </row>
    <row r="30" spans="1:55" ht="15" customHeight="1">
      <c r="A30" s="1102">
        <v>33</v>
      </c>
      <c r="B30" s="1105">
        <v>7.4140813907411642</v>
      </c>
      <c r="C30" s="1105">
        <v>0.33903190488422269</v>
      </c>
      <c r="D30" s="1104">
        <v>-1.3045057769577635</v>
      </c>
      <c r="E30" s="1103">
        <v>0.5601093506545427</v>
      </c>
      <c r="F30" s="1104">
        <v>-0.34471129133143097</v>
      </c>
      <c r="G30" s="1104">
        <v>1.6257721806567833</v>
      </c>
      <c r="H30" s="1104">
        <v>-0.49351528545364509</v>
      </c>
      <c r="I30" s="1105">
        <v>2.0431896268456136</v>
      </c>
      <c r="J30" s="1104">
        <v>2.4926773294917579</v>
      </c>
      <c r="K30" s="1103">
        <v>4.5997644563080033</v>
      </c>
      <c r="L30" s="1130">
        <v>33</v>
      </c>
      <c r="M30" s="1105">
        <v>0.45904403087462092</v>
      </c>
      <c r="N30" s="1105">
        <v>-4.5723884384306884E-2</v>
      </c>
      <c r="O30" s="1104">
        <v>-0.10039920781838972</v>
      </c>
      <c r="P30" s="1103">
        <v>9.5047743660805588E-3</v>
      </c>
      <c r="Q30" s="1104">
        <v>-2.249689847173544E-2</v>
      </c>
      <c r="R30" s="1104">
        <v>0.24910321318248688</v>
      </c>
      <c r="S30" s="1104">
        <v>1.5514291309526501E-2</v>
      </c>
      <c r="T30" s="1105">
        <v>-1.2490009027033011E-16</v>
      </c>
      <c r="U30" s="1104">
        <v>4.7184478546569153E-16</v>
      </c>
      <c r="V30" s="1103">
        <v>0.45254357904549458</v>
      </c>
      <c r="W30"/>
      <c r="AA30"/>
      <c r="AX30" s="1070"/>
      <c r="AY30" s="1070"/>
      <c r="AZ30" s="1070"/>
      <c r="BA30" s="1070"/>
      <c r="BB30" s="1070"/>
      <c r="BC30" s="1070"/>
    </row>
    <row r="31" spans="1:55" ht="15" customHeight="1">
      <c r="B31" s="1128" t="s">
        <v>381</v>
      </c>
      <c r="C31" s="1097"/>
      <c r="D31" s="1097"/>
      <c r="E31" s="1097"/>
      <c r="F31" s="1097"/>
      <c r="G31" s="1097"/>
      <c r="H31" s="1097"/>
      <c r="I31" s="1097"/>
      <c r="J31" s="1097"/>
      <c r="K31" s="663"/>
      <c r="L31" s="1129" t="s">
        <v>378</v>
      </c>
      <c r="M31" s="1128" t="s">
        <v>380</v>
      </c>
      <c r="N31" s="1097"/>
      <c r="O31" s="1097"/>
      <c r="P31" s="1097"/>
      <c r="Q31" s="1097"/>
      <c r="R31" s="1097"/>
      <c r="S31" s="1097"/>
      <c r="T31" s="1097"/>
      <c r="U31" s="1097"/>
      <c r="V31" s="663"/>
      <c r="W31" s="1129" t="s">
        <v>378</v>
      </c>
      <c r="X31" s="1128" t="s">
        <v>379</v>
      </c>
      <c r="Y31" s="1097"/>
      <c r="Z31" s="1097"/>
      <c r="AA31" s="1097"/>
      <c r="AB31" s="1097"/>
      <c r="AC31" s="1097"/>
      <c r="AD31" s="1097"/>
      <c r="AE31" s="1097"/>
      <c r="AF31" s="1097"/>
      <c r="AG31" s="663"/>
      <c r="AX31" s="1070"/>
      <c r="AY31" s="1070"/>
      <c r="AZ31" s="1070"/>
      <c r="BA31" s="1070"/>
      <c r="BB31" s="1070"/>
      <c r="BC31" s="1070"/>
    </row>
    <row r="32" spans="1:55" ht="15" customHeight="1">
      <c r="A32" s="1121" t="s">
        <v>378</v>
      </c>
      <c r="B32" s="1126">
        <v>0</v>
      </c>
      <c r="C32" s="1126">
        <v>1</v>
      </c>
      <c r="D32" s="1093">
        <v>2</v>
      </c>
      <c r="E32" s="1092">
        <v>3</v>
      </c>
      <c r="F32" s="1093">
        <v>12</v>
      </c>
      <c r="G32" s="1093">
        <v>13</v>
      </c>
      <c r="H32" s="1093">
        <v>23</v>
      </c>
      <c r="I32" s="1126">
        <v>11</v>
      </c>
      <c r="J32" s="1093">
        <v>22</v>
      </c>
      <c r="K32" s="1092">
        <v>33</v>
      </c>
      <c r="L32" s="1127">
        <v>0</v>
      </c>
      <c r="M32" s="1126">
        <v>0</v>
      </c>
      <c r="N32" s="1126">
        <v>1</v>
      </c>
      <c r="O32" s="1093">
        <v>2</v>
      </c>
      <c r="P32" s="1092">
        <v>3</v>
      </c>
      <c r="Q32" s="1093">
        <v>12</v>
      </c>
      <c r="R32" s="1093">
        <v>13</v>
      </c>
      <c r="S32" s="1093">
        <v>23</v>
      </c>
      <c r="T32" s="1126">
        <v>11</v>
      </c>
      <c r="U32" s="1093">
        <v>22</v>
      </c>
      <c r="V32" s="1092">
        <v>33</v>
      </c>
      <c r="W32" s="1127">
        <v>0</v>
      </c>
      <c r="X32" s="1126">
        <v>0</v>
      </c>
      <c r="Y32" s="1126">
        <v>1</v>
      </c>
      <c r="Z32" s="1093">
        <v>2</v>
      </c>
      <c r="AA32" s="1092">
        <v>3</v>
      </c>
      <c r="AB32" s="1093">
        <v>12</v>
      </c>
      <c r="AC32" s="1093">
        <v>13</v>
      </c>
      <c r="AD32" s="1093">
        <v>23</v>
      </c>
      <c r="AE32" s="1126">
        <v>11</v>
      </c>
      <c r="AF32" s="1093">
        <v>22</v>
      </c>
      <c r="AG32" s="1092">
        <v>33</v>
      </c>
      <c r="AX32" s="1070"/>
      <c r="AY32" s="1070"/>
      <c r="AZ32" s="1070"/>
      <c r="BA32" s="1070"/>
      <c r="BB32" s="1070"/>
      <c r="BC32" s="1070"/>
    </row>
    <row r="33" spans="1:55" ht="15" customHeight="1">
      <c r="A33" s="1125">
        <v>0</v>
      </c>
      <c r="B33" s="1124">
        <f t="array" ref="B33">SQRT(SUMSQ(X_0))</f>
        <v>4</v>
      </c>
      <c r="C33" s="1123">
        <v>0</v>
      </c>
      <c r="D33" s="1123">
        <v>0</v>
      </c>
      <c r="E33" s="1123">
        <v>0</v>
      </c>
      <c r="F33" s="1123">
        <v>0</v>
      </c>
      <c r="G33" s="1123">
        <v>0</v>
      </c>
      <c r="H33" s="1123">
        <v>0</v>
      </c>
      <c r="I33" s="1123">
        <v>0</v>
      </c>
      <c r="J33" s="1123">
        <v>0</v>
      </c>
      <c r="K33" s="1122">
        <v>0</v>
      </c>
      <c r="L33" s="1125">
        <v>0</v>
      </c>
      <c r="M33" s="1124">
        <f t="array" ref="M33:V42">MINVERSE(Samek)</f>
        <v>0.25</v>
      </c>
      <c r="N33" s="1123">
        <v>0</v>
      </c>
      <c r="O33" s="1123">
        <v>0</v>
      </c>
      <c r="P33" s="1123">
        <v>0</v>
      </c>
      <c r="Q33" s="1123">
        <v>0</v>
      </c>
      <c r="R33" s="1123">
        <v>0</v>
      </c>
      <c r="S33" s="1123">
        <v>0</v>
      </c>
      <c r="T33" s="1123">
        <v>0</v>
      </c>
      <c r="U33" s="1123">
        <v>0</v>
      </c>
      <c r="V33" s="1122">
        <v>0</v>
      </c>
      <c r="W33" s="1125">
        <v>0</v>
      </c>
      <c r="X33" s="1124">
        <f>M33*AD25</f>
        <v>0.24999999999999467</v>
      </c>
      <c r="Y33" s="1123">
        <v>0</v>
      </c>
      <c r="Z33" s="1123">
        <v>0</v>
      </c>
      <c r="AA33" s="1123">
        <v>0</v>
      </c>
      <c r="AB33" s="1123">
        <v>0</v>
      </c>
      <c r="AC33" s="1123">
        <v>0</v>
      </c>
      <c r="AD33" s="1123">
        <v>0</v>
      </c>
      <c r="AE33" s="1123">
        <v>0</v>
      </c>
      <c r="AF33" s="1123">
        <v>0</v>
      </c>
      <c r="AG33" s="1122">
        <v>0</v>
      </c>
      <c r="AX33" s="1070"/>
      <c r="AY33" s="1070"/>
      <c r="AZ33" s="1070"/>
      <c r="BA33" s="1070"/>
      <c r="BB33" s="1070"/>
      <c r="BC33" s="1070"/>
    </row>
    <row r="34" spans="1:55" ht="15" customHeight="1">
      <c r="A34" s="1110">
        <v>1</v>
      </c>
      <c r="B34" s="1109">
        <v>0</v>
      </c>
      <c r="C34" s="1119">
        <f t="array" ref="C34:E36">[1]!MSQRT(MMULT(TRANSPOSE(X_1),X_1))</f>
        <v>2.0180754764943716</v>
      </c>
      <c r="D34" s="1118">
        <v>6.429976145071592E-2</v>
      </c>
      <c r="E34" s="1117">
        <v>0.5058024164153283</v>
      </c>
      <c r="F34" s="1112">
        <v>0</v>
      </c>
      <c r="G34" s="1112">
        <v>0</v>
      </c>
      <c r="H34" s="1112">
        <v>0</v>
      </c>
      <c r="I34" s="1112">
        <v>0</v>
      </c>
      <c r="J34" s="1112">
        <v>0</v>
      </c>
      <c r="K34" s="1111">
        <v>0</v>
      </c>
      <c r="L34" s="1110">
        <v>1</v>
      </c>
      <c r="M34" s="1109">
        <v>0</v>
      </c>
      <c r="N34" s="1119">
        <v>0.5213066688201391</v>
      </c>
      <c r="O34" s="1118">
        <v>-2.1074660989639109E-2</v>
      </c>
      <c r="P34" s="1117">
        <v>-0.10019941929852612</v>
      </c>
      <c r="Q34" s="1112">
        <v>0</v>
      </c>
      <c r="R34" s="1112">
        <v>0</v>
      </c>
      <c r="S34" s="1112">
        <v>0</v>
      </c>
      <c r="T34" s="1112">
        <v>0</v>
      </c>
      <c r="U34" s="1112">
        <v>0</v>
      </c>
      <c r="V34" s="1111">
        <v>0</v>
      </c>
      <c r="W34" s="1110">
        <v>1</v>
      </c>
      <c r="X34" s="1109">
        <v>0</v>
      </c>
      <c r="Y34" s="1116">
        <f>N34*$AD$26</f>
        <v>0.50387755202077356</v>
      </c>
      <c r="Z34" s="1115">
        <f>O34*$AD$26</f>
        <v>-2.0370060895558626E-2</v>
      </c>
      <c r="AA34" s="1114">
        <f>P34*$AD$26</f>
        <v>-9.6849400036092409E-2</v>
      </c>
      <c r="AB34" s="1108">
        <v>0</v>
      </c>
      <c r="AC34" s="1108">
        <v>0</v>
      </c>
      <c r="AD34" s="1108">
        <v>0</v>
      </c>
      <c r="AE34" s="1108">
        <v>0</v>
      </c>
      <c r="AF34" s="1108">
        <v>0</v>
      </c>
      <c r="AG34" s="1120">
        <v>0</v>
      </c>
      <c r="AH34"/>
      <c r="AX34" s="1070"/>
      <c r="AY34" s="1070"/>
      <c r="AZ34" s="1070"/>
      <c r="BA34" s="1070"/>
      <c r="BB34" s="1070"/>
      <c r="BC34" s="1070"/>
    </row>
    <row r="35" spans="1:55" ht="15" customHeight="1">
      <c r="A35" s="1110">
        <v>2</v>
      </c>
      <c r="B35" s="1109">
        <v>0</v>
      </c>
      <c r="C35" s="1113">
        <v>6.429976145071592E-2</v>
      </c>
      <c r="D35" s="1112">
        <v>2.4469403595297563</v>
      </c>
      <c r="E35" s="1111">
        <v>-0.18012623443835074</v>
      </c>
      <c r="F35" s="1112">
        <v>0</v>
      </c>
      <c r="G35" s="1112">
        <v>0</v>
      </c>
      <c r="H35" s="1112">
        <v>0</v>
      </c>
      <c r="I35" s="1112">
        <v>0</v>
      </c>
      <c r="J35" s="1112">
        <v>0</v>
      </c>
      <c r="K35" s="1111">
        <v>0</v>
      </c>
      <c r="L35" s="1110">
        <v>2</v>
      </c>
      <c r="M35" s="1109">
        <v>0</v>
      </c>
      <c r="N35" s="1113">
        <v>-2.1074660989639109E-2</v>
      </c>
      <c r="O35" s="1112">
        <v>0.41156571458239022</v>
      </c>
      <c r="P35" s="1111">
        <v>3.1764734070565126E-2</v>
      </c>
      <c r="Q35" s="1112">
        <v>0</v>
      </c>
      <c r="R35" s="1112">
        <v>0</v>
      </c>
      <c r="S35" s="1112">
        <v>0</v>
      </c>
      <c r="T35" s="1112">
        <v>0</v>
      </c>
      <c r="U35" s="1112">
        <v>0</v>
      </c>
      <c r="V35" s="1111">
        <v>0</v>
      </c>
      <c r="W35" s="1110">
        <v>2</v>
      </c>
      <c r="X35" s="1109">
        <v>0</v>
      </c>
      <c r="Y35" s="1107">
        <f>N35*$AD$26</f>
        <v>-2.0370060895558626E-2</v>
      </c>
      <c r="Z35" s="1070">
        <f>O35*$AD$26</f>
        <v>0.39780562414213971</v>
      </c>
      <c r="AA35" s="1106">
        <f>P35*$AD$26</f>
        <v>3.0702727207177618E-2</v>
      </c>
      <c r="AB35" s="1108">
        <v>0</v>
      </c>
      <c r="AC35" s="1108">
        <v>0</v>
      </c>
      <c r="AD35" s="1108">
        <v>0</v>
      </c>
      <c r="AE35" s="1108">
        <v>0</v>
      </c>
      <c r="AF35" s="1108">
        <v>0</v>
      </c>
      <c r="AG35" s="1120">
        <v>0</v>
      </c>
      <c r="AH35"/>
      <c r="AY35" s="1070"/>
      <c r="AZ35" s="1070"/>
      <c r="BA35" s="1070"/>
      <c r="BB35" s="1070"/>
      <c r="BC35" s="1070"/>
    </row>
    <row r="36" spans="1:55" ht="15" customHeight="1">
      <c r="A36" s="1110">
        <v>3</v>
      </c>
      <c r="B36" s="1109">
        <v>0</v>
      </c>
      <c r="C36" s="1105">
        <v>0.50580241641532853</v>
      </c>
      <c r="D36" s="1104">
        <v>-0.18012623443835085</v>
      </c>
      <c r="E36" s="1103">
        <v>2.6694193836781501</v>
      </c>
      <c r="F36" s="1112">
        <v>0</v>
      </c>
      <c r="G36" s="1112">
        <v>0</v>
      </c>
      <c r="H36" s="1112">
        <v>0</v>
      </c>
      <c r="I36" s="1112">
        <v>0</v>
      </c>
      <c r="J36" s="1112">
        <v>0</v>
      </c>
      <c r="K36" s="1111">
        <v>0</v>
      </c>
      <c r="L36" s="1110">
        <v>3</v>
      </c>
      <c r="M36" s="1109">
        <v>0</v>
      </c>
      <c r="N36" s="1105">
        <v>-0.10019941929852617</v>
      </c>
      <c r="O36" s="1104">
        <v>3.1764734070565147E-2</v>
      </c>
      <c r="P36" s="1103">
        <v>0.39574252618375511</v>
      </c>
      <c r="Q36" s="1112">
        <v>0</v>
      </c>
      <c r="R36" s="1112">
        <v>0</v>
      </c>
      <c r="S36" s="1112">
        <v>0</v>
      </c>
      <c r="T36" s="1112">
        <v>0</v>
      </c>
      <c r="U36" s="1112">
        <v>0</v>
      </c>
      <c r="V36" s="1111">
        <v>0</v>
      </c>
      <c r="W36" s="1110">
        <v>3</v>
      </c>
      <c r="X36" s="1109">
        <v>0</v>
      </c>
      <c r="Y36" s="1099">
        <f>N36*$AD$26</f>
        <v>-9.6849400036092465E-2</v>
      </c>
      <c r="Z36" s="1087">
        <f>O36*$AD$26</f>
        <v>3.0702727207177635E-2</v>
      </c>
      <c r="AA36" s="1098">
        <f>P36*$AD$26</f>
        <v>0.38251146062508218</v>
      </c>
      <c r="AB36" s="1108">
        <v>0</v>
      </c>
      <c r="AC36" s="1108">
        <v>0</v>
      </c>
      <c r="AD36" s="1108">
        <v>0</v>
      </c>
      <c r="AE36" s="1108">
        <v>0</v>
      </c>
      <c r="AF36" s="1108">
        <v>0</v>
      </c>
      <c r="AG36" s="1120">
        <v>0</v>
      </c>
      <c r="AH36"/>
      <c r="AY36" s="1070"/>
      <c r="AZ36" s="1070"/>
      <c r="BA36" s="1070"/>
      <c r="BB36" s="1070"/>
      <c r="BC36" s="1070"/>
    </row>
    <row r="37" spans="1:55" ht="15" customHeight="1">
      <c r="A37" s="1121">
        <v>12</v>
      </c>
      <c r="B37" s="1109">
        <v>0</v>
      </c>
      <c r="C37" s="1112">
        <v>0</v>
      </c>
      <c r="D37" s="1112">
        <v>0</v>
      </c>
      <c r="E37" s="1112">
        <v>0</v>
      </c>
      <c r="F37" s="1119">
        <f t="array" ref="F37:H39">[1]!MSQRT(MMULT(TRANSPOSE(X_2),X_2))</f>
        <v>1.2021181053593972</v>
      </c>
      <c r="G37" s="1118">
        <v>-0.40544101711177893</v>
      </c>
      <c r="H37" s="1117">
        <v>0.29951602472212679</v>
      </c>
      <c r="I37" s="1112">
        <v>0</v>
      </c>
      <c r="J37" s="1112">
        <v>0</v>
      </c>
      <c r="K37" s="1111">
        <v>0</v>
      </c>
      <c r="L37" s="1121">
        <v>12</v>
      </c>
      <c r="M37" s="1109">
        <v>0</v>
      </c>
      <c r="N37" s="1112">
        <v>0</v>
      </c>
      <c r="O37" s="1112">
        <v>0</v>
      </c>
      <c r="P37" s="1112">
        <v>0</v>
      </c>
      <c r="Q37" s="1119">
        <v>0.9686480622446183</v>
      </c>
      <c r="R37" s="1118">
        <v>0.27725179652687237</v>
      </c>
      <c r="S37" s="1117">
        <v>-0.17368060027469365</v>
      </c>
      <c r="T37" s="1112">
        <v>0</v>
      </c>
      <c r="U37" s="1112">
        <v>0</v>
      </c>
      <c r="V37" s="1111">
        <v>0</v>
      </c>
      <c r="W37" s="1121">
        <v>12</v>
      </c>
      <c r="X37" s="1109">
        <v>0</v>
      </c>
      <c r="Y37" s="1108">
        <v>0</v>
      </c>
      <c r="Z37" s="1108">
        <v>0</v>
      </c>
      <c r="AA37" s="1108">
        <v>0</v>
      </c>
      <c r="AB37" s="1116">
        <f>Q37*$AD$27</f>
        <v>0.81177540314212082</v>
      </c>
      <c r="AC37" s="1115">
        <f>R37*$AD$27</f>
        <v>0.23235083790488376</v>
      </c>
      <c r="AD37" s="1114">
        <f>S37*$AD$27</f>
        <v>-0.14555300815782776</v>
      </c>
      <c r="AE37" s="1108">
        <v>0</v>
      </c>
      <c r="AF37" s="1108">
        <v>0</v>
      </c>
      <c r="AG37" s="1120">
        <v>0</v>
      </c>
      <c r="AH37"/>
      <c r="AY37" s="1070"/>
      <c r="AZ37" s="1070"/>
      <c r="BA37" s="1070"/>
      <c r="BB37" s="1070"/>
      <c r="BC37" s="1070"/>
    </row>
    <row r="38" spans="1:55" ht="15" customHeight="1">
      <c r="A38" s="1110">
        <v>13</v>
      </c>
      <c r="B38" s="1109">
        <v>0</v>
      </c>
      <c r="C38" s="1112">
        <v>0</v>
      </c>
      <c r="D38" s="1112">
        <v>0</v>
      </c>
      <c r="E38" s="1112">
        <v>0</v>
      </c>
      <c r="F38" s="1113">
        <v>-0.40544101711177882</v>
      </c>
      <c r="G38" s="1112">
        <v>1.3685567865683672</v>
      </c>
      <c r="H38" s="1111">
        <v>-7.6547569697832663E-2</v>
      </c>
      <c r="I38" s="1112">
        <v>0</v>
      </c>
      <c r="J38" s="1112">
        <v>0</v>
      </c>
      <c r="K38" s="1111">
        <v>0</v>
      </c>
      <c r="L38" s="1110">
        <v>13</v>
      </c>
      <c r="M38" s="1109">
        <v>0</v>
      </c>
      <c r="N38" s="1112">
        <v>0</v>
      </c>
      <c r="O38" s="1112">
        <v>0</v>
      </c>
      <c r="P38" s="1112">
        <v>0</v>
      </c>
      <c r="Q38" s="1113">
        <v>0.27725179652687226</v>
      </c>
      <c r="R38" s="1112">
        <v>0.81207955680553412</v>
      </c>
      <c r="S38" s="1111">
        <v>-1.3485231266680126E-2</v>
      </c>
      <c r="T38" s="1112">
        <v>0</v>
      </c>
      <c r="U38" s="1112">
        <v>0</v>
      </c>
      <c r="V38" s="1111">
        <v>0</v>
      </c>
      <c r="W38" s="1110">
        <v>13</v>
      </c>
      <c r="X38" s="1109">
        <v>0</v>
      </c>
      <c r="Y38" s="1108">
        <v>0</v>
      </c>
      <c r="Z38" s="1108">
        <v>0</v>
      </c>
      <c r="AA38" s="1108">
        <v>0</v>
      </c>
      <c r="AB38" s="1107">
        <f>Q38*$AD$27</f>
        <v>0.23235083790488367</v>
      </c>
      <c r="AC38" s="1070">
        <f>R38*$AD$27</f>
        <v>0.68056318419889539</v>
      </c>
      <c r="AD38" s="1106">
        <f>S38*$AD$27</f>
        <v>-1.1301296595387695E-2</v>
      </c>
      <c r="AE38" s="1108">
        <v>0</v>
      </c>
      <c r="AF38" s="1108">
        <v>0</v>
      </c>
      <c r="AG38" s="1120">
        <v>0</v>
      </c>
      <c r="AH38"/>
      <c r="AY38" s="1070"/>
      <c r="AZ38" s="1070"/>
      <c r="BA38" s="1070"/>
      <c r="BB38" s="1070"/>
      <c r="BC38" s="1070"/>
    </row>
    <row r="39" spans="1:55" ht="15" customHeight="1">
      <c r="A39" s="1102">
        <v>23</v>
      </c>
      <c r="B39" s="1109">
        <v>0</v>
      </c>
      <c r="C39" s="1112">
        <v>0</v>
      </c>
      <c r="D39" s="1112">
        <v>0</v>
      </c>
      <c r="E39" s="1112">
        <v>0</v>
      </c>
      <c r="F39" s="1105">
        <v>0.29951602472212668</v>
      </c>
      <c r="G39" s="1104">
        <v>-7.6547569697832551E-2</v>
      </c>
      <c r="H39" s="1103">
        <v>1.5482596519963208</v>
      </c>
      <c r="I39" s="1112">
        <v>0</v>
      </c>
      <c r="J39" s="1112">
        <v>0</v>
      </c>
      <c r="K39" s="1111">
        <v>0</v>
      </c>
      <c r="L39" s="1102">
        <v>23</v>
      </c>
      <c r="M39" s="1109">
        <v>0</v>
      </c>
      <c r="N39" s="1112">
        <v>0</v>
      </c>
      <c r="O39" s="1112">
        <v>0</v>
      </c>
      <c r="P39" s="1112">
        <v>0</v>
      </c>
      <c r="Q39" s="1105">
        <v>-0.17368060027469356</v>
      </c>
      <c r="R39" s="1104">
        <v>-1.3485231266680178E-2</v>
      </c>
      <c r="S39" s="1103">
        <v>0.67881886602819574</v>
      </c>
      <c r="T39" s="1112">
        <v>0</v>
      </c>
      <c r="U39" s="1112">
        <v>0</v>
      </c>
      <c r="V39" s="1111">
        <v>0</v>
      </c>
      <c r="W39" s="1102">
        <v>23</v>
      </c>
      <c r="X39" s="1109">
        <v>0</v>
      </c>
      <c r="Y39" s="1108">
        <v>0</v>
      </c>
      <c r="Z39" s="1108">
        <v>0</v>
      </c>
      <c r="AA39" s="1108">
        <v>0</v>
      </c>
      <c r="AB39" s="1099">
        <f>Q39*$AD$27</f>
        <v>-0.14555300815782768</v>
      </c>
      <c r="AC39" s="1087">
        <f>R39*$AD$27</f>
        <v>-1.1301296595387738E-2</v>
      </c>
      <c r="AD39" s="1098">
        <f>S39*$AD$27</f>
        <v>0.56888407679625996</v>
      </c>
      <c r="AE39" s="1108">
        <v>0</v>
      </c>
      <c r="AF39" s="1108">
        <v>0</v>
      </c>
      <c r="AG39" s="1120">
        <v>0</v>
      </c>
      <c r="AH39"/>
      <c r="AY39" s="1070"/>
      <c r="AZ39" s="1070"/>
      <c r="BA39" s="1070"/>
      <c r="BB39" s="1070"/>
      <c r="BC39" s="1070"/>
    </row>
    <row r="40" spans="1:55" ht="15" customHeight="1">
      <c r="A40" s="1110">
        <v>11</v>
      </c>
      <c r="B40" s="1109">
        <v>0</v>
      </c>
      <c r="C40" s="1112">
        <v>0</v>
      </c>
      <c r="D40" s="1112">
        <v>0</v>
      </c>
      <c r="E40" s="1112">
        <v>0</v>
      </c>
      <c r="F40" s="1112">
        <v>0</v>
      </c>
      <c r="G40" s="1112">
        <v>0</v>
      </c>
      <c r="H40" s="1112">
        <v>0</v>
      </c>
      <c r="I40" s="1119">
        <f t="array" ref="I40:K42">[1]!MSQRT(MMULT(TRANSPOSE(X_3),X_3))</f>
        <v>1.3350805505292327</v>
      </c>
      <c r="J40" s="1118">
        <v>0.4295519293731449</v>
      </c>
      <c r="K40" s="1117">
        <v>0.53882834056259066</v>
      </c>
      <c r="L40" s="1110">
        <v>11</v>
      </c>
      <c r="M40" s="1109">
        <v>0</v>
      </c>
      <c r="N40" s="1112">
        <v>0</v>
      </c>
      <c r="O40" s="1112">
        <v>0</v>
      </c>
      <c r="P40" s="1112">
        <v>0</v>
      </c>
      <c r="Q40" s="1112">
        <v>0</v>
      </c>
      <c r="R40" s="1112">
        <v>0</v>
      </c>
      <c r="S40" s="1112">
        <v>0</v>
      </c>
      <c r="T40" s="1119">
        <v>0.87234693905104799</v>
      </c>
      <c r="U40" s="1118">
        <v>-0.13799537032939119</v>
      </c>
      <c r="V40" s="1117">
        <v>-0.19556739343217958</v>
      </c>
      <c r="W40" s="1110">
        <v>11</v>
      </c>
      <c r="X40" s="1109">
        <v>0</v>
      </c>
      <c r="Y40" s="1108">
        <v>0</v>
      </c>
      <c r="Z40" s="1108">
        <v>0</v>
      </c>
      <c r="AA40" s="1108">
        <v>0</v>
      </c>
      <c r="AB40" s="1108">
        <v>0</v>
      </c>
      <c r="AC40" s="1108">
        <v>0</v>
      </c>
      <c r="AD40" s="1108">
        <v>0</v>
      </c>
      <c r="AE40" s="1116">
        <f>T40*$AD$28</f>
        <v>0.58683964425526314</v>
      </c>
      <c r="AF40" s="1115">
        <f>U40*$AD$28</f>
        <v>-9.2831361477654431E-2</v>
      </c>
      <c r="AG40" s="1114">
        <f>V40*$AD$28</f>
        <v>-0.13156084403129134</v>
      </c>
      <c r="AH40"/>
    </row>
    <row r="41" spans="1:55" ht="15" customHeight="1">
      <c r="A41" s="1110">
        <v>22</v>
      </c>
      <c r="B41" s="1109">
        <v>0</v>
      </c>
      <c r="C41" s="1112">
        <v>0</v>
      </c>
      <c r="D41" s="1112">
        <v>0</v>
      </c>
      <c r="E41" s="1112">
        <v>0</v>
      </c>
      <c r="F41" s="1112">
        <v>0</v>
      </c>
      <c r="G41" s="1112">
        <v>0</v>
      </c>
      <c r="H41" s="1112">
        <v>0</v>
      </c>
      <c r="I41" s="1113">
        <v>0.4295519293731449</v>
      </c>
      <c r="J41" s="1112">
        <v>1.8900665391606855</v>
      </c>
      <c r="K41" s="1111">
        <v>0.58239707926037176</v>
      </c>
      <c r="L41" s="1110">
        <v>22</v>
      </c>
      <c r="M41" s="1109">
        <v>0</v>
      </c>
      <c r="N41" s="1112">
        <v>0</v>
      </c>
      <c r="O41" s="1112">
        <v>0</v>
      </c>
      <c r="P41" s="1112">
        <v>0</v>
      </c>
      <c r="Q41" s="1112">
        <v>0</v>
      </c>
      <c r="R41" s="1112">
        <v>0</v>
      </c>
      <c r="S41" s="1112">
        <v>0</v>
      </c>
      <c r="T41" s="1113">
        <v>-0.13799537032939124</v>
      </c>
      <c r="U41" s="1112">
        <v>0.6032790822115971</v>
      </c>
      <c r="V41" s="1111">
        <v>-0.13901414065636311</v>
      </c>
      <c r="W41" s="1110">
        <v>22</v>
      </c>
      <c r="X41" s="1109">
        <v>0</v>
      </c>
      <c r="Y41" s="1108">
        <v>0</v>
      </c>
      <c r="Z41" s="1108">
        <v>0</v>
      </c>
      <c r="AA41" s="1108">
        <v>0</v>
      </c>
      <c r="AB41" s="1108">
        <v>0</v>
      </c>
      <c r="AC41" s="1108">
        <v>0</v>
      </c>
      <c r="AD41" s="1108">
        <v>0</v>
      </c>
      <c r="AE41" s="1107">
        <f>T41*$AD$28</f>
        <v>-9.2831361477654473E-2</v>
      </c>
      <c r="AF41" s="1070">
        <f>U41*$AD$28</f>
        <v>0.40583403935229295</v>
      </c>
      <c r="AG41" s="1106">
        <f>V41*$AD$28</f>
        <v>-9.3516702125388443E-2</v>
      </c>
      <c r="AH41"/>
    </row>
    <row r="42" spans="1:55" ht="15" customHeight="1">
      <c r="A42" s="1102">
        <v>33</v>
      </c>
      <c r="B42" s="1101">
        <v>0</v>
      </c>
      <c r="C42" s="1104">
        <v>0</v>
      </c>
      <c r="D42" s="1104">
        <v>0</v>
      </c>
      <c r="E42" s="1104">
        <v>0</v>
      </c>
      <c r="F42" s="1104">
        <v>0</v>
      </c>
      <c r="G42" s="1104">
        <v>0</v>
      </c>
      <c r="H42" s="1104">
        <v>0</v>
      </c>
      <c r="I42" s="1105">
        <v>0.53882834056259066</v>
      </c>
      <c r="J42" s="1104">
        <v>0.58239707926037176</v>
      </c>
      <c r="K42" s="1103">
        <v>1.9925466413069328</v>
      </c>
      <c r="L42" s="1102">
        <v>33</v>
      </c>
      <c r="M42" s="1101">
        <v>0</v>
      </c>
      <c r="N42" s="1104">
        <v>0</v>
      </c>
      <c r="O42" s="1104">
        <v>0</v>
      </c>
      <c r="P42" s="1104">
        <v>0</v>
      </c>
      <c r="Q42" s="1104">
        <v>0</v>
      </c>
      <c r="R42" s="1104">
        <v>0</v>
      </c>
      <c r="S42" s="1104">
        <v>0</v>
      </c>
      <c r="T42" s="1105">
        <v>-0.19556739343217955</v>
      </c>
      <c r="U42" s="1104">
        <v>-0.13901414065636311</v>
      </c>
      <c r="V42" s="1103">
        <v>0.59538816255123483</v>
      </c>
      <c r="W42" s="1102">
        <v>33</v>
      </c>
      <c r="X42" s="1101">
        <v>0</v>
      </c>
      <c r="Y42" s="1100">
        <v>0</v>
      </c>
      <c r="Z42" s="1100">
        <v>0</v>
      </c>
      <c r="AA42" s="1100">
        <v>0</v>
      </c>
      <c r="AB42" s="1100">
        <v>0</v>
      </c>
      <c r="AC42" s="1100">
        <v>0</v>
      </c>
      <c r="AD42" s="1100">
        <v>0</v>
      </c>
      <c r="AE42" s="1099">
        <f>T42*$AD$28</f>
        <v>-0.13156084403129134</v>
      </c>
      <c r="AF42" s="1087">
        <f>U42*$AD$28</f>
        <v>-9.3516702125388443E-2</v>
      </c>
      <c r="AG42" s="1098">
        <f>V42*$AD$28</f>
        <v>0.40052571043057839</v>
      </c>
      <c r="AH42"/>
    </row>
    <row r="43" spans="1:55" ht="15" customHeight="1">
      <c r="A43" s="1095" t="s">
        <v>27</v>
      </c>
      <c r="B43" s="1097"/>
      <c r="C43" s="1097"/>
      <c r="D43" s="1097"/>
      <c r="E43" s="1097"/>
      <c r="F43" s="1097"/>
      <c r="G43" s="1097"/>
      <c r="H43" s="1097"/>
      <c r="I43" s="1097"/>
      <c r="J43" s="663"/>
      <c r="V43"/>
      <c r="W43"/>
      <c r="X43"/>
      <c r="Y43"/>
      <c r="AB43"/>
      <c r="AC43"/>
      <c r="AD43"/>
      <c r="AE43"/>
      <c r="AF43"/>
      <c r="AG43"/>
      <c r="AH43"/>
    </row>
    <row r="44" spans="1:55" ht="15" customHeight="1">
      <c r="A44" s="1096"/>
      <c r="B44" s="1093" t="s">
        <v>30</v>
      </c>
      <c r="C44" s="1093" t="s">
        <v>31</v>
      </c>
      <c r="D44" s="1093" t="s">
        <v>32</v>
      </c>
      <c r="E44" s="1093" t="s">
        <v>3</v>
      </c>
      <c r="F44" s="1092" t="s">
        <v>33</v>
      </c>
      <c r="G44" s="1095" t="s">
        <v>30</v>
      </c>
      <c r="H44" s="1094"/>
      <c r="I44" s="1093" t="s">
        <v>3</v>
      </c>
      <c r="J44" s="1092" t="s">
        <v>33</v>
      </c>
      <c r="V44"/>
    </row>
    <row r="45" spans="1:55" ht="15" customHeight="1">
      <c r="A45" s="1091">
        <v>1</v>
      </c>
      <c r="B45" s="1070">
        <f>AB26^2</f>
        <v>13.053354804340994</v>
      </c>
      <c r="C45" s="1069">
        <v>3</v>
      </c>
      <c r="D45" s="1090">
        <f>B45/C45</f>
        <v>4.3511182681136651</v>
      </c>
      <c r="E45" s="1090">
        <f>D45/D$49</f>
        <v>137.31399734734734</v>
      </c>
      <c r="F45" s="1089">
        <f>FDIST(E45,C45,C$49)</f>
        <v>6.4372836713569811E-6</v>
      </c>
      <c r="G45" s="1083">
        <f>SUM(H45:H47)</f>
        <v>13.053354804340993</v>
      </c>
      <c r="H45" s="1082">
        <f>Z21^2</f>
        <v>1.6408348844472966</v>
      </c>
      <c r="I45" s="1081">
        <f>H45/D$49</f>
        <v>51.781997888122049</v>
      </c>
      <c r="J45" s="1080">
        <f>FDIST(I45,1,C$49)</f>
        <v>3.6442523573530425E-4</v>
      </c>
      <c r="V45"/>
    </row>
    <row r="46" spans="1:55" ht="15" customHeight="1">
      <c r="A46" s="1091">
        <v>2</v>
      </c>
      <c r="B46" s="1070">
        <f>AB27^2</f>
        <v>4.764482303166317</v>
      </c>
      <c r="C46" s="1069">
        <v>3</v>
      </c>
      <c r="D46" s="1090">
        <f>B46/C46</f>
        <v>1.5881607677221057</v>
      </c>
      <c r="E46" s="1090">
        <f>D46/D$49</f>
        <v>50.119691079023895</v>
      </c>
      <c r="F46" s="1089">
        <f>FDIST(E46,C46,C$49)</f>
        <v>1.218114775119527E-4</v>
      </c>
      <c r="G46" s="1079"/>
      <c r="H46" s="1078">
        <f>Z22^2</f>
        <v>5.6836231837845412</v>
      </c>
      <c r="I46" s="1077">
        <f>H46/D$49</f>
        <v>179.36561837466579</v>
      </c>
      <c r="J46" s="1076">
        <f>FDIST(I46,1,C$49)</f>
        <v>1.0729006142340588E-5</v>
      </c>
    </row>
    <row r="47" spans="1:55" ht="15" customHeight="1">
      <c r="A47" s="1088">
        <v>3</v>
      </c>
      <c r="B47" s="1087">
        <f>AB28^2</f>
        <v>28.01938270329995</v>
      </c>
      <c r="C47" s="1086">
        <v>3</v>
      </c>
      <c r="D47" s="1085">
        <f>B47/C47</f>
        <v>9.3397942344333167</v>
      </c>
      <c r="E47" s="1085">
        <f>D47/D$49</f>
        <v>294.7482467048041</v>
      </c>
      <c r="F47" s="1084">
        <f>FDIST(E47,C47,C$49)</f>
        <v>6.6799475602548927E-7</v>
      </c>
      <c r="G47" s="1075"/>
      <c r="H47" s="1074">
        <f>Z23^2</f>
        <v>5.7288967361091547</v>
      </c>
      <c r="I47" s="1073">
        <f>H47/D$49</f>
        <v>180.79437577925412</v>
      </c>
      <c r="J47" s="1072">
        <f>FDIST(I47,1,C$49)</f>
        <v>1.0483691550133323E-5</v>
      </c>
    </row>
    <row r="48" spans="1:55" ht="15" customHeight="1">
      <c r="A48" s="1091" t="s">
        <v>5</v>
      </c>
      <c r="B48" s="1070">
        <f>SUMSQ(y_hat)-COUNT(y)*AVERAGE(y)^2</f>
        <v>22.090698684939376</v>
      </c>
      <c r="C48" s="1069">
        <f>COUNT(a)-1</f>
        <v>9</v>
      </c>
      <c r="D48" s="1090">
        <f>B48/C48</f>
        <v>2.4545220761043751</v>
      </c>
      <c r="E48" s="1090">
        <f>D48/D$49</f>
        <v>77.460601408409502</v>
      </c>
      <c r="F48" s="1089">
        <f>FDIST(E48,C48,C$49)</f>
        <v>1.6289272942018792E-5</v>
      </c>
      <c r="G48" s="1083">
        <f>SUM(H48:H50)</f>
        <v>4.7644823031663179</v>
      </c>
      <c r="H48" s="1078">
        <f>Z24^2</f>
        <v>2.8319953274041221</v>
      </c>
      <c r="I48" s="1081">
        <f>H48/D$49</f>
        <v>89.373024338282846</v>
      </c>
      <c r="J48" s="1080">
        <f>FDIST(I48,1,C$49)</f>
        <v>7.9716603129738542E-5</v>
      </c>
    </row>
    <row r="49" spans="1:32" ht="15" customHeight="1">
      <c r="A49" s="1088" t="s">
        <v>6</v>
      </c>
      <c r="B49" s="1087">
        <f>SUMSQ(y)-SUMSQ(y_hat)</f>
        <v>0.19012416878843652</v>
      </c>
      <c r="C49" s="1086">
        <f>COUNT(y)-COUNT(a)</f>
        <v>6</v>
      </c>
      <c r="D49" s="1090">
        <f>B49/C49</f>
        <v>3.1687361464739418E-2</v>
      </c>
      <c r="E49" s="1090"/>
      <c r="F49" s="1089"/>
      <c r="G49" s="1079"/>
      <c r="H49" s="1078">
        <f>Z25^2</f>
        <v>0.62467068234733447</v>
      </c>
      <c r="I49" s="1077">
        <f>H49/D$49</f>
        <v>19.713559396305246</v>
      </c>
      <c r="J49" s="1076">
        <f>FDIST(I49,1,C$49)</f>
        <v>4.3758622921043801E-3</v>
      </c>
    </row>
    <row r="50" spans="1:32" ht="15" customHeight="1">
      <c r="A50" s="1088" t="s">
        <v>7</v>
      </c>
      <c r="B50" s="1087">
        <f>SUMSQ(y)-COUNT(y)*AVERAGE(y)^2</f>
        <v>22.280822853727813</v>
      </c>
      <c r="C50" s="1086">
        <f>COUNT(y)-1</f>
        <v>15</v>
      </c>
      <c r="D50" s="1086"/>
      <c r="E50" s="1085"/>
      <c r="F50" s="1084"/>
      <c r="G50" s="1075"/>
      <c r="H50" s="1078">
        <f>Z26^2</f>
        <v>1.3078162934148607</v>
      </c>
      <c r="I50" s="1073">
        <f>H50/D$49</f>
        <v>41.272489502483594</v>
      </c>
      <c r="J50" s="1072">
        <f>FDIST(I50,1,C$49)</f>
        <v>6.7192118440853631E-4</v>
      </c>
    </row>
    <row r="51" spans="1:32" ht="15" customHeight="1">
      <c r="G51" s="1083">
        <f>SUM(H51:H53)</f>
        <v>28.019382703299947</v>
      </c>
      <c r="H51" s="1082">
        <f>Z27^2</f>
        <v>10.954197771563873</v>
      </c>
      <c r="I51" s="1081">
        <f>H51/D$49</f>
        <v>345.69611558707152</v>
      </c>
      <c r="J51" s="1080">
        <f>FDIST(I51,1,C$49)</f>
        <v>1.5617058403246576E-6</v>
      </c>
    </row>
    <row r="52" spans="1:32" ht="15" customHeight="1">
      <c r="G52" s="1079"/>
      <c r="H52" s="1078">
        <f>Z28^2</f>
        <v>5.1216830946347525</v>
      </c>
      <c r="I52" s="1077">
        <f>H52/D$49</f>
        <v>161.63173132398484</v>
      </c>
      <c r="J52" s="1076">
        <f>FDIST(I52,1,C$49)</f>
        <v>1.4526205852860055E-5</v>
      </c>
    </row>
    <row r="53" spans="1:32" ht="15" customHeight="1">
      <c r="D53" s="1"/>
      <c r="G53" s="1075"/>
      <c r="H53" s="1074">
        <f>Z29^2</f>
        <v>11.943501837101325</v>
      </c>
      <c r="I53" s="1073">
        <f>H53/D$49</f>
        <v>376.91689320335598</v>
      </c>
      <c r="J53" s="1072">
        <f>FDIST(I53,1,C$49)</f>
        <v>1.2093687169142514E-6</v>
      </c>
    </row>
    <row r="54" spans="1:32" ht="15" customHeight="1">
      <c r="L54"/>
    </row>
    <row r="55" spans="1:32" ht="15" customHeight="1">
      <c r="L55"/>
    </row>
    <row r="56" spans="1:32" ht="15" customHeight="1">
      <c r="L56"/>
      <c r="X56"/>
    </row>
    <row r="57" spans="1:32" ht="15" customHeight="1">
      <c r="L57"/>
      <c r="X57"/>
    </row>
    <row r="58" spans="1:32" ht="15" customHeight="1">
      <c r="X58" s="1"/>
    </row>
    <row r="59" spans="1:32" ht="15" customHeight="1">
      <c r="X59" s="1"/>
    </row>
    <row r="60" spans="1:32" ht="15" customHeight="1">
      <c r="X60" s="1"/>
    </row>
    <row r="61" spans="1:32" ht="15" customHeight="1">
      <c r="X61" s="1"/>
    </row>
    <row r="62" spans="1:32" ht="15" customHeight="1"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customHeight="1">
      <c r="X64" s="1"/>
      <c r="Y64" s="1"/>
      <c r="Z64" s="1"/>
      <c r="AA64" s="1"/>
      <c r="AB64" s="1"/>
      <c r="AC64" s="1"/>
      <c r="AD64" s="1"/>
      <c r="AE64" s="1"/>
      <c r="AF64" s="1"/>
    </row>
    <row r="65" spans="1:34" ht="15" customHeight="1">
      <c r="X65" s="1"/>
      <c r="Y65" s="1"/>
      <c r="Z65" s="1"/>
      <c r="AA65" s="1"/>
      <c r="AB65" s="1"/>
      <c r="AC65" s="1"/>
      <c r="AD65" s="1"/>
      <c r="AE65" s="1"/>
      <c r="AF65" s="1"/>
    </row>
    <row r="69" spans="1:34" ht="15" customHeight="1">
      <c r="A69" s="1"/>
    </row>
    <row r="70" spans="1:34" ht="15" customHeight="1">
      <c r="A70" s="1"/>
    </row>
    <row r="71" spans="1:34" ht="15" customHeight="1">
      <c r="A71" s="1"/>
      <c r="AG71"/>
      <c r="AH71"/>
    </row>
    <row r="72" spans="1:34" ht="15" customHeight="1">
      <c r="A72" s="1"/>
      <c r="AG72"/>
      <c r="AH72"/>
    </row>
    <row r="73" spans="1:34" ht="15" customHeight="1">
      <c r="A73" s="1"/>
      <c r="AA73" s="1"/>
      <c r="AG73"/>
      <c r="AH73"/>
    </row>
    <row r="74" spans="1:34" ht="15" customHeight="1">
      <c r="A74" s="1"/>
      <c r="X74" s="1"/>
      <c r="Y74" s="1"/>
      <c r="Z74" s="1"/>
      <c r="AA74" s="1"/>
      <c r="AB74" s="1"/>
      <c r="AC74" s="1"/>
      <c r="AD74" s="1"/>
      <c r="AE74" s="1"/>
      <c r="AF74" s="1"/>
      <c r="AG74"/>
      <c r="AH74"/>
    </row>
    <row r="75" spans="1:34" ht="15" customHeight="1">
      <c r="A75" s="1"/>
      <c r="X75" s="1"/>
      <c r="Y75" s="1"/>
      <c r="Z75" s="1"/>
      <c r="AA75" s="1"/>
      <c r="AB75" s="1"/>
      <c r="AC75" s="1"/>
      <c r="AD75" s="1"/>
      <c r="AE75" s="1"/>
      <c r="AF75" s="1"/>
      <c r="AG75"/>
      <c r="AH75"/>
    </row>
    <row r="76" spans="1:34" ht="15" customHeight="1">
      <c r="A76" s="1"/>
      <c r="X76" s="1"/>
      <c r="Y76" s="1"/>
      <c r="Z76" s="1"/>
      <c r="AA76" s="1"/>
      <c r="AB76" s="1"/>
      <c r="AC76" s="1"/>
      <c r="AD76" s="1"/>
      <c r="AE76" s="1"/>
      <c r="AF76" s="1"/>
      <c r="AG76"/>
      <c r="AH76"/>
    </row>
    <row r="77" spans="1:34" ht="15" customHeight="1">
      <c r="A77" s="1"/>
      <c r="X77" s="1"/>
      <c r="Y77" s="1"/>
      <c r="Z77" s="1"/>
      <c r="AA77" s="1"/>
      <c r="AB77" s="1"/>
      <c r="AC77" s="1"/>
      <c r="AD77" s="1"/>
      <c r="AE77" s="1"/>
      <c r="AF77" s="1"/>
      <c r="AG77"/>
      <c r="AH77"/>
    </row>
    <row r="78" spans="1:34" ht="15" customHeight="1">
      <c r="A78" s="1"/>
      <c r="AG78"/>
      <c r="AH78"/>
    </row>
    <row r="79" spans="1:34" ht="15" customHeight="1">
      <c r="A79" s="1"/>
      <c r="AG79"/>
      <c r="AH79"/>
    </row>
    <row r="80" spans="1:34" ht="15" customHeight="1">
      <c r="A80" s="1"/>
      <c r="AG80"/>
      <c r="AH80"/>
    </row>
    <row r="81" spans="1:34" ht="15" customHeight="1">
      <c r="A81" s="1"/>
      <c r="AG81"/>
      <c r="AH81"/>
    </row>
    <row r="82" spans="1:34" ht="15" customHeight="1">
      <c r="A82" s="1"/>
      <c r="AG82"/>
      <c r="AH82"/>
    </row>
    <row r="83" spans="1:34" ht="15" customHeight="1">
      <c r="A83" s="1"/>
      <c r="AG83"/>
      <c r="AH83"/>
    </row>
    <row r="84" spans="1:34" ht="15" customHeight="1">
      <c r="A84" s="1"/>
      <c r="AG84"/>
      <c r="AH84"/>
    </row>
    <row r="85" spans="1:34" ht="15" customHeight="1">
      <c r="A85" s="1"/>
      <c r="AG85"/>
      <c r="AH85"/>
    </row>
    <row r="86" spans="1:34" ht="15" customHeight="1">
      <c r="A86" s="1"/>
    </row>
    <row r="87" spans="1:34" ht="15" customHeight="1">
      <c r="A87" s="1"/>
    </row>
    <row r="88" spans="1:34" ht="15" customHeight="1">
      <c r="A88" s="1"/>
    </row>
    <row r="89" spans="1:34" ht="15" customHeight="1">
      <c r="A89" s="1"/>
    </row>
  </sheetData>
  <mergeCells count="15">
    <mergeCell ref="G51:G53"/>
    <mergeCell ref="B31:K31"/>
    <mergeCell ref="X31:AG31"/>
    <mergeCell ref="X1:Z1"/>
    <mergeCell ref="A43:J43"/>
    <mergeCell ref="M31:V31"/>
    <mergeCell ref="G48:G50"/>
    <mergeCell ref="G45:G47"/>
    <mergeCell ref="G44:H44"/>
    <mergeCell ref="B1:K1"/>
    <mergeCell ref="AB1:AE1"/>
    <mergeCell ref="AB19:AE19"/>
    <mergeCell ref="M1:V1"/>
    <mergeCell ref="B19:K19"/>
    <mergeCell ref="M19:V19"/>
  </mergeCells>
  <conditionalFormatting sqref="L32 Z24:AA24 Z20:Z23 AE25:AE28">
    <cfRule type="cellIs" dxfId="46" priority="1" operator="between">
      <formula>-0.0001</formula>
      <formula>0.0001</formula>
    </cfRule>
  </conditionalFormatting>
  <conditionalFormatting sqref="M25:P27 M28:S30">
    <cfRule type="cellIs" dxfId="45" priority="4" operator="between">
      <formula>-0.0001</formula>
      <formula>0.0001</formula>
    </cfRule>
  </conditionalFormatting>
  <conditionalFormatting sqref="M33:V42">
    <cfRule type="cellIs" dxfId="44" priority="2" operator="between">
      <formula>-0.0001</formula>
      <formula>0.0001</formula>
    </cfRule>
  </conditionalFormatting>
  <conditionalFormatting sqref="N21:V21 M21:M24 Q22:V24 T25:V27">
    <cfRule type="cellIs" dxfId="43" priority="3" operator="between">
      <formula>-0.0001</formula>
      <formula>0.0001</formula>
    </cfRule>
  </conditionalFormatting>
  <conditionalFormatting sqref="W21:W29 B21:V30 W32 B33:K42 X33:AG42">
    <cfRule type="cellIs" dxfId="42" priority="5" operator="between">
      <formula>-0.0001</formula>
      <formula>0.0001</formula>
    </cfRule>
  </conditionalFormatting>
  <conditionalFormatting sqref="X37:AA39 X40:AD42">
    <cfRule type="cellIs" dxfId="41" priority="7" operator="between">
      <formula>-0.0001</formula>
      <formula>0.0001</formula>
    </cfRule>
  </conditionalFormatting>
  <conditionalFormatting sqref="Z18:AA18 AB20:AE23">
    <cfRule type="cellIs" dxfId="40" priority="8" operator="between">
      <formula>-0.0001</formula>
      <formula>0.0001</formula>
    </cfRule>
  </conditionalFormatting>
  <conditionalFormatting sqref="Z25:Z28 Z29:AA29 X33:X36">
    <cfRule type="cellIs" dxfId="39" priority="6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3743-47F4-47D4-A29D-AC2A756E5C97}">
  <dimension ref="A1:U12"/>
  <sheetViews>
    <sheetView zoomScaleNormal="100" workbookViewId="0">
      <selection activeCell="E20" sqref="E20"/>
    </sheetView>
  </sheetViews>
  <sheetFormatPr defaultColWidth="6.875" defaultRowHeight="15.75"/>
  <cols>
    <col min="1" max="1" width="9.5" style="1" customWidth="1"/>
    <col min="2" max="2" width="6.875" style="94" customWidth="1"/>
    <col min="3" max="3" width="7.625" style="1" customWidth="1"/>
    <col min="4" max="4" width="7.5" style="978" customWidth="1"/>
    <col min="5" max="5" width="6.875" style="476"/>
    <col min="6" max="14" width="4.875" style="1" customWidth="1"/>
    <col min="15" max="15" width="6.875" style="1"/>
    <col min="16" max="20" width="4.875" style="1" customWidth="1"/>
    <col min="21" max="16384" width="6.875" style="1"/>
  </cols>
  <sheetData>
    <row r="1" spans="1:21">
      <c r="A1" s="1001" t="s">
        <v>369</v>
      </c>
      <c r="B1" s="1003"/>
      <c r="C1" s="1003"/>
      <c r="D1" s="1003"/>
      <c r="E1" s="1002"/>
      <c r="F1" s="652" t="s">
        <v>14</v>
      </c>
      <c r="G1" s="809"/>
      <c r="H1" s="809"/>
      <c r="I1" s="809"/>
      <c r="J1" s="863"/>
      <c r="K1" s="863"/>
      <c r="L1" s="863"/>
      <c r="M1" s="584"/>
      <c r="N1" s="1001" t="s">
        <v>368</v>
      </c>
      <c r="O1" s="1000"/>
      <c r="P1" s="652" t="s">
        <v>367</v>
      </c>
      <c r="Q1" s="809"/>
      <c r="R1" s="809"/>
      <c r="S1" s="808"/>
      <c r="T1" s="884" t="s">
        <v>366</v>
      </c>
      <c r="U1" s="999"/>
    </row>
    <row r="2" spans="1:21" s="501" customFormat="1" ht="30" customHeight="1">
      <c r="A2" s="996" t="s">
        <v>365</v>
      </c>
      <c r="B2" s="994" t="s">
        <v>364</v>
      </c>
      <c r="C2" s="994" t="s">
        <v>363</v>
      </c>
      <c r="D2" s="998" t="s">
        <v>362</v>
      </c>
      <c r="E2" s="997" t="s">
        <v>361</v>
      </c>
      <c r="F2" s="995">
        <v>0</v>
      </c>
      <c r="G2" s="995">
        <v>1</v>
      </c>
      <c r="H2" s="994">
        <v>2</v>
      </c>
      <c r="I2" s="993">
        <v>3</v>
      </c>
      <c r="J2" s="995">
        <v>12</v>
      </c>
      <c r="K2" s="994">
        <v>13</v>
      </c>
      <c r="L2" s="993">
        <v>23</v>
      </c>
      <c r="M2" s="996">
        <v>123</v>
      </c>
      <c r="N2" s="992" t="s">
        <v>221</v>
      </c>
      <c r="O2" s="991"/>
      <c r="P2" s="995">
        <v>0</v>
      </c>
      <c r="Q2" s="995">
        <v>1</v>
      </c>
      <c r="R2" s="994">
        <v>2</v>
      </c>
      <c r="S2" s="993">
        <v>3</v>
      </c>
      <c r="T2" s="992" t="s">
        <v>221</v>
      </c>
      <c r="U2" s="991"/>
    </row>
    <row r="3" spans="1:21">
      <c r="A3" s="118">
        <v>1</v>
      </c>
      <c r="B3" s="40">
        <v>1</v>
      </c>
      <c r="C3" s="88">
        <v>25</v>
      </c>
      <c r="D3" s="990">
        <v>800</v>
      </c>
      <c r="E3" s="989">
        <v>7.8</v>
      </c>
      <c r="F3" s="81">
        <v>1</v>
      </c>
      <c r="G3" s="81">
        <f>(B3-B$11)/B$12</f>
        <v>-1</v>
      </c>
      <c r="H3" s="88">
        <f>(C3-C$11)/C$12</f>
        <v>-1</v>
      </c>
      <c r="I3" s="80">
        <f>(D3-D$11)/D$12</f>
        <v>-1</v>
      </c>
      <c r="J3" s="81">
        <f>G3*H3</f>
        <v>1</v>
      </c>
      <c r="K3" s="88">
        <f>G3*I3</f>
        <v>1</v>
      </c>
      <c r="L3" s="80">
        <f>H3*I3</f>
        <v>1</v>
      </c>
      <c r="M3" s="118">
        <f>PRODUCT(G3:I3)</f>
        <v>-1</v>
      </c>
      <c r="N3" s="81">
        <v>0</v>
      </c>
      <c r="O3" s="124">
        <f t="array" ref="O3:O10">MMULT([1]!PseudoInv(F3:M10),E3:E10)</f>
        <v>14.799999999999997</v>
      </c>
      <c r="P3" s="81">
        <f>F3</f>
        <v>1</v>
      </c>
      <c r="Q3" s="81">
        <f>G3</f>
        <v>-1</v>
      </c>
      <c r="R3" s="88">
        <f>H3</f>
        <v>-1</v>
      </c>
      <c r="S3" s="80">
        <f>I3</f>
        <v>-1</v>
      </c>
      <c r="T3" s="81">
        <v>0</v>
      </c>
      <c r="U3" s="874">
        <f t="array" ref="U3:U6">MMULT([1]!PseudoInv(P3:S10),E3:E10)</f>
        <v>14.799999999999999</v>
      </c>
    </row>
    <row r="4" spans="1:21">
      <c r="A4" s="450">
        <v>2</v>
      </c>
      <c r="B4" s="94">
        <v>1</v>
      </c>
      <c r="C4" s="1">
        <v>25</v>
      </c>
      <c r="D4" s="987">
        <v>1100</v>
      </c>
      <c r="E4" s="986">
        <v>9.5</v>
      </c>
      <c r="F4" s="455">
        <v>1</v>
      </c>
      <c r="G4" s="455">
        <f>(B4-B$11)/B$12</f>
        <v>-1</v>
      </c>
      <c r="H4" s="1">
        <f>(C4-C$11)/C$12</f>
        <v>-1</v>
      </c>
      <c r="I4" s="90">
        <f>(D4-D$11)/D$12</f>
        <v>1</v>
      </c>
      <c r="J4" s="455">
        <f>G4*H4</f>
        <v>1</v>
      </c>
      <c r="K4" s="1">
        <f>G4*I4</f>
        <v>-1</v>
      </c>
      <c r="L4" s="90">
        <f>H4*I4</f>
        <v>-1</v>
      </c>
      <c r="M4" s="450">
        <f>PRODUCT(G4:I4)</f>
        <v>1</v>
      </c>
      <c r="N4" s="81">
        <v>1</v>
      </c>
      <c r="O4" s="124">
        <v>3.3749999999999996</v>
      </c>
      <c r="P4" s="455">
        <f>F4</f>
        <v>1</v>
      </c>
      <c r="Q4" s="455">
        <f>G4</f>
        <v>-1</v>
      </c>
      <c r="R4" s="1">
        <f>H4</f>
        <v>-1</v>
      </c>
      <c r="S4" s="90">
        <f>I4</f>
        <v>1</v>
      </c>
      <c r="T4" s="81">
        <v>1</v>
      </c>
      <c r="U4" s="874">
        <v>3.3750000000000013</v>
      </c>
    </row>
    <row r="5" spans="1:21">
      <c r="A5" s="450">
        <v>3</v>
      </c>
      <c r="B5" s="94">
        <v>1</v>
      </c>
      <c r="C5" s="1">
        <v>325</v>
      </c>
      <c r="D5" s="987">
        <v>800</v>
      </c>
      <c r="E5" s="986">
        <v>13.4</v>
      </c>
      <c r="F5" s="455">
        <v>1</v>
      </c>
      <c r="G5" s="455">
        <f>(B5-B$11)/B$12</f>
        <v>-1</v>
      </c>
      <c r="H5" s="1">
        <f>(C5-C$11)/C$12</f>
        <v>1</v>
      </c>
      <c r="I5" s="90">
        <f>(D5-D$11)/D$12</f>
        <v>-1</v>
      </c>
      <c r="J5" s="455">
        <f>G5*H5</f>
        <v>-1</v>
      </c>
      <c r="K5" s="1">
        <f>G5*I5</f>
        <v>1</v>
      </c>
      <c r="L5" s="90">
        <f>H5*I5</f>
        <v>-1</v>
      </c>
      <c r="M5" s="450">
        <f>PRODUCT(G5:I5)</f>
        <v>1</v>
      </c>
      <c r="N5" s="455">
        <v>2</v>
      </c>
      <c r="O5" s="37">
        <v>3.2749999999999995</v>
      </c>
      <c r="P5" s="455">
        <f>F5</f>
        <v>1</v>
      </c>
      <c r="Q5" s="455">
        <f>G5</f>
        <v>-1</v>
      </c>
      <c r="R5" s="1">
        <f>H5</f>
        <v>1</v>
      </c>
      <c r="S5" s="90">
        <f>I5</f>
        <v>-1</v>
      </c>
      <c r="T5" s="455">
        <v>2</v>
      </c>
      <c r="U5" s="866">
        <v>3.2750000000000039</v>
      </c>
    </row>
    <row r="6" spans="1:21">
      <c r="A6" s="450">
        <v>4</v>
      </c>
      <c r="B6" s="94">
        <v>1</v>
      </c>
      <c r="C6" s="1">
        <v>325</v>
      </c>
      <c r="D6" s="987">
        <v>1100</v>
      </c>
      <c r="E6" s="986">
        <v>15</v>
      </c>
      <c r="F6" s="455">
        <v>1</v>
      </c>
      <c r="G6" s="455">
        <f>(B6-B$11)/B$12</f>
        <v>-1</v>
      </c>
      <c r="H6" s="1">
        <f>(C6-C$11)/C$12</f>
        <v>1</v>
      </c>
      <c r="I6" s="90">
        <f>(D6-D$11)/D$12</f>
        <v>1</v>
      </c>
      <c r="J6" s="455">
        <f>G6*H6</f>
        <v>-1</v>
      </c>
      <c r="K6" s="1">
        <f>G6*I6</f>
        <v>-1</v>
      </c>
      <c r="L6" s="90">
        <f>H6*I6</f>
        <v>1</v>
      </c>
      <c r="M6" s="450">
        <f>PRODUCT(G6:I6)</f>
        <v>-1</v>
      </c>
      <c r="N6" s="106">
        <v>3</v>
      </c>
      <c r="O6" s="66">
        <v>1.2999999999999998</v>
      </c>
      <c r="P6" s="455">
        <f>F6</f>
        <v>1</v>
      </c>
      <c r="Q6" s="455">
        <f>G6</f>
        <v>-1</v>
      </c>
      <c r="R6" s="1">
        <f>H6</f>
        <v>1</v>
      </c>
      <c r="S6" s="90">
        <f>I6</f>
        <v>1</v>
      </c>
      <c r="T6" s="106">
        <v>3</v>
      </c>
      <c r="U6" s="988">
        <v>1.3</v>
      </c>
    </row>
    <row r="7" spans="1:21">
      <c r="A7" s="450">
        <v>5</v>
      </c>
      <c r="B7" s="94">
        <v>5</v>
      </c>
      <c r="C7" s="1">
        <v>25</v>
      </c>
      <c r="D7" s="987">
        <v>800</v>
      </c>
      <c r="E7" s="986">
        <v>12.8</v>
      </c>
      <c r="F7" s="455">
        <v>1</v>
      </c>
      <c r="G7" s="455">
        <f>(B7-B$11)/B$12</f>
        <v>1</v>
      </c>
      <c r="H7" s="1">
        <f>(C7-C$11)/C$12</f>
        <v>-1</v>
      </c>
      <c r="I7" s="90">
        <f>(D7-D$11)/D$12</f>
        <v>-1</v>
      </c>
      <c r="J7" s="455">
        <f>G7*H7</f>
        <v>-1</v>
      </c>
      <c r="K7" s="1">
        <f>G7*I7</f>
        <v>-1</v>
      </c>
      <c r="L7" s="90">
        <f>H7*I7</f>
        <v>1</v>
      </c>
      <c r="M7" s="450">
        <f>PRODUCT(G7:I7)</f>
        <v>1</v>
      </c>
      <c r="N7" s="455">
        <v>12</v>
      </c>
      <c r="O7" s="37">
        <v>0.5</v>
      </c>
      <c r="P7" s="455">
        <f>F7</f>
        <v>1</v>
      </c>
      <c r="Q7" s="455">
        <f>G7</f>
        <v>1</v>
      </c>
      <c r="R7" s="1">
        <f>H7</f>
        <v>-1</v>
      </c>
      <c r="S7" s="90">
        <f>I7</f>
        <v>-1</v>
      </c>
    </row>
    <row r="8" spans="1:21">
      <c r="A8" s="450">
        <v>6</v>
      </c>
      <c r="B8" s="94">
        <v>5</v>
      </c>
      <c r="C8" s="1">
        <v>25</v>
      </c>
      <c r="D8" s="987">
        <v>1100</v>
      </c>
      <c r="E8" s="986">
        <v>16</v>
      </c>
      <c r="F8" s="455">
        <v>1</v>
      </c>
      <c r="G8" s="455">
        <f>(B8-B$11)/B$12</f>
        <v>1</v>
      </c>
      <c r="H8" s="1">
        <f>(C8-C$11)/C$12</f>
        <v>-1</v>
      </c>
      <c r="I8" s="90">
        <f>(D8-D$11)/D$12</f>
        <v>1</v>
      </c>
      <c r="J8" s="455">
        <f>G8*H8</f>
        <v>-1</v>
      </c>
      <c r="K8" s="1">
        <f>G8*I8</f>
        <v>1</v>
      </c>
      <c r="L8" s="90">
        <f>H8*I8</f>
        <v>-1</v>
      </c>
      <c r="M8" s="450">
        <f>PRODUCT(G8:I8)</f>
        <v>-1</v>
      </c>
      <c r="N8" s="455">
        <v>13</v>
      </c>
      <c r="O8" s="37">
        <v>0.47499999999999964</v>
      </c>
      <c r="P8" s="455">
        <f>F8</f>
        <v>1</v>
      </c>
      <c r="Q8" s="455">
        <f>G8</f>
        <v>1</v>
      </c>
      <c r="R8" s="1">
        <f>H8</f>
        <v>-1</v>
      </c>
      <c r="S8" s="90">
        <f>I8</f>
        <v>1</v>
      </c>
    </row>
    <row r="9" spans="1:21">
      <c r="A9" s="450">
        <v>7</v>
      </c>
      <c r="B9" s="94">
        <v>5</v>
      </c>
      <c r="C9" s="1">
        <v>325</v>
      </c>
      <c r="D9" s="987">
        <v>800</v>
      </c>
      <c r="E9" s="986">
        <v>20</v>
      </c>
      <c r="F9" s="455">
        <v>1</v>
      </c>
      <c r="G9" s="455">
        <f>(B9-B$11)/B$12</f>
        <v>1</v>
      </c>
      <c r="H9" s="1">
        <f>(C9-C$11)/C$12</f>
        <v>1</v>
      </c>
      <c r="I9" s="90">
        <f>(D9-D$11)/D$12</f>
        <v>-1</v>
      </c>
      <c r="J9" s="455">
        <f>G9*H9</f>
        <v>1</v>
      </c>
      <c r="K9" s="1">
        <f>G9*I9</f>
        <v>-1</v>
      </c>
      <c r="L9" s="90">
        <f>H9*I9</f>
        <v>-1</v>
      </c>
      <c r="M9" s="450">
        <f>PRODUCT(G9:I9)</f>
        <v>-1</v>
      </c>
      <c r="N9" s="455">
        <v>23</v>
      </c>
      <c r="O9" s="37">
        <v>7.4999999999999734E-2</v>
      </c>
      <c r="P9" s="455">
        <f>F9</f>
        <v>1</v>
      </c>
      <c r="Q9" s="455">
        <f>G9</f>
        <v>1</v>
      </c>
      <c r="R9" s="1">
        <f>H9</f>
        <v>1</v>
      </c>
      <c r="S9" s="90">
        <f>I9</f>
        <v>-1</v>
      </c>
    </row>
    <row r="10" spans="1:21">
      <c r="A10" s="92">
        <v>8</v>
      </c>
      <c r="B10" s="94">
        <v>5</v>
      </c>
      <c r="C10" s="1">
        <v>325</v>
      </c>
      <c r="D10" s="987">
        <v>1100</v>
      </c>
      <c r="E10" s="986">
        <v>23.9</v>
      </c>
      <c r="F10" s="106">
        <v>1</v>
      </c>
      <c r="G10" s="106">
        <f>(B10-B$11)/B$12</f>
        <v>1</v>
      </c>
      <c r="H10" s="76">
        <f>(C10-C$11)/C$12</f>
        <v>1</v>
      </c>
      <c r="I10" s="77">
        <f>(D10-D$11)/D$12</f>
        <v>1</v>
      </c>
      <c r="J10" s="106">
        <f>G10*H10</f>
        <v>1</v>
      </c>
      <c r="K10" s="76">
        <f>G10*I10</f>
        <v>1</v>
      </c>
      <c r="L10" s="77">
        <f>H10*I10</f>
        <v>1</v>
      </c>
      <c r="M10" s="92">
        <f>PRODUCT(G10:I10)</f>
        <v>1</v>
      </c>
      <c r="N10" s="456">
        <v>123</v>
      </c>
      <c r="O10" s="136">
        <v>0.10000000000000009</v>
      </c>
      <c r="P10" s="106">
        <f>F10</f>
        <v>1</v>
      </c>
      <c r="Q10" s="106">
        <f>G10</f>
        <v>1</v>
      </c>
      <c r="R10" s="76">
        <f>H10</f>
        <v>1</v>
      </c>
      <c r="S10" s="77">
        <f>I10</f>
        <v>1</v>
      </c>
    </row>
    <row r="11" spans="1:21">
      <c r="A11" s="118" t="s">
        <v>93</v>
      </c>
      <c r="B11" s="87">
        <f>AVERAGE(B3:B10)</f>
        <v>3</v>
      </c>
      <c r="C11" s="88">
        <f>AVERAGE(C3:C10)</f>
        <v>175</v>
      </c>
      <c r="D11" s="80">
        <f>AVERAGE(D3:D10)</f>
        <v>950</v>
      </c>
      <c r="E11" s="118">
        <f>AVERAGE(E3:E10)</f>
        <v>14.8</v>
      </c>
    </row>
    <row r="12" spans="1:21">
      <c r="A12" s="92" t="s">
        <v>360</v>
      </c>
      <c r="B12" s="75">
        <f>(MAX(B3:B10)-MIN(B3:B10))/2</f>
        <v>2</v>
      </c>
      <c r="C12" s="76">
        <f>(MAX(C3:C10)-MIN(C3:C10))/2</f>
        <v>150</v>
      </c>
      <c r="D12" s="77">
        <f>(MAX(D3:D10)-MIN(D3:D10))/2</f>
        <v>150</v>
      </c>
      <c r="E12" s="92">
        <f>(MAX(E3:E10)-MIN(E3:E10))/2</f>
        <v>8.0499999999999989</v>
      </c>
    </row>
  </sheetData>
  <mergeCells count="7">
    <mergeCell ref="N2:O2"/>
    <mergeCell ref="T2:U2"/>
    <mergeCell ref="A1:E1"/>
    <mergeCell ref="F1:M1"/>
    <mergeCell ref="N1:O1"/>
    <mergeCell ref="P1:S1"/>
    <mergeCell ref="T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6D2A-F618-4A86-BAEF-225325A22BE6}">
  <dimension ref="A1:U13"/>
  <sheetViews>
    <sheetView zoomScaleNormal="100" workbookViewId="0">
      <selection activeCell="A12" sqref="A12"/>
    </sheetView>
  </sheetViews>
  <sheetFormatPr defaultColWidth="6.875" defaultRowHeight="15.75"/>
  <cols>
    <col min="1" max="1" width="6.875" style="1"/>
    <col min="2" max="2" width="6.875" style="94" customWidth="1"/>
    <col min="3" max="3" width="8.5" style="1" customWidth="1"/>
    <col min="4" max="4" width="15.375" style="1" customWidth="1"/>
    <col min="5" max="5" width="9.875" style="978" customWidth="1"/>
    <col min="6" max="6" width="8.5" style="476" customWidth="1"/>
    <col min="7" max="14" width="4.875" style="1" customWidth="1"/>
    <col min="15" max="15" width="6.875" style="1"/>
    <col min="16" max="20" width="4.875" style="1" customWidth="1"/>
    <col min="21" max="16384" width="6.875" style="1"/>
  </cols>
  <sheetData>
    <row r="1" spans="1:21">
      <c r="A1" s="985" t="s">
        <v>359</v>
      </c>
      <c r="B1" s="984"/>
      <c r="C1" s="984"/>
      <c r="D1" s="983"/>
      <c r="E1" s="982"/>
      <c r="F1" s="472" t="s">
        <v>358</v>
      </c>
      <c r="G1" s="795" t="s">
        <v>357</v>
      </c>
      <c r="N1"/>
      <c r="O1"/>
      <c r="P1"/>
      <c r="Q1"/>
      <c r="R1"/>
      <c r="S1"/>
      <c r="T1"/>
      <c r="U1"/>
    </row>
    <row r="2" spans="1:21" s="501" customFormat="1" ht="15" customHeight="1">
      <c r="A2" s="127" t="s">
        <v>356</v>
      </c>
      <c r="B2" s="859" t="s">
        <v>86</v>
      </c>
      <c r="C2" s="859" t="s">
        <v>355</v>
      </c>
      <c r="D2" s="794" t="s">
        <v>259</v>
      </c>
      <c r="E2" s="981" t="s">
        <v>354</v>
      </c>
      <c r="F2" s="859" t="s">
        <v>353</v>
      </c>
      <c r="G2" s="980" t="s">
        <v>352</v>
      </c>
      <c r="K2" s="1"/>
      <c r="L2" s="1"/>
      <c r="M2" s="1"/>
      <c r="N2"/>
      <c r="O2"/>
      <c r="P2"/>
      <c r="Q2"/>
      <c r="R2"/>
      <c r="S2"/>
      <c r="T2"/>
      <c r="U2"/>
    </row>
    <row r="3" spans="1:21" ht="18.75">
      <c r="A3" s="87">
        <v>1</v>
      </c>
      <c r="B3" s="40" t="s">
        <v>351</v>
      </c>
      <c r="C3" s="522">
        <v>7.4999999999999997E-2</v>
      </c>
      <c r="D3" s="41" t="s">
        <v>350</v>
      </c>
      <c r="E3" s="522">
        <f>(A3-0.5)/7</f>
        <v>7.1428571428571425E-2</v>
      </c>
      <c r="F3" s="522">
        <f>NORMSINV(E3)</f>
        <v>-1.4652337926855223</v>
      </c>
      <c r="G3" s="80">
        <f>F3*C$10</f>
        <v>-2.1121316745237935</v>
      </c>
      <c r="N3"/>
      <c r="O3"/>
      <c r="P3"/>
      <c r="Q3"/>
      <c r="R3"/>
      <c r="S3"/>
      <c r="T3"/>
      <c r="U3"/>
    </row>
    <row r="4" spans="1:21" ht="18.75">
      <c r="A4" s="89">
        <v>2</v>
      </c>
      <c r="B4" s="94" t="s">
        <v>349</v>
      </c>
      <c r="C4" s="36">
        <v>0.10000000000000009</v>
      </c>
      <c r="D4" s="475" t="s">
        <v>348</v>
      </c>
      <c r="E4" s="36">
        <f>(A4-0.5)/7</f>
        <v>0.21428571428571427</v>
      </c>
      <c r="F4" s="36">
        <f>NORMSINV(E4)</f>
        <v>-0.79163860774337469</v>
      </c>
      <c r="G4" s="90">
        <f>F4*C$10</f>
        <v>-1.1411455199419929</v>
      </c>
      <c r="N4"/>
      <c r="O4"/>
      <c r="P4"/>
      <c r="Q4"/>
      <c r="R4"/>
      <c r="S4"/>
      <c r="T4"/>
      <c r="U4"/>
    </row>
    <row r="5" spans="1:21" ht="18.75">
      <c r="A5" s="89">
        <v>3</v>
      </c>
      <c r="B5" s="94" t="s">
        <v>347</v>
      </c>
      <c r="C5" s="36">
        <v>0.47499999999999964</v>
      </c>
      <c r="D5" s="475" t="s">
        <v>346</v>
      </c>
      <c r="E5" s="36">
        <f>(A5-0.5)/7</f>
        <v>0.35714285714285715</v>
      </c>
      <c r="F5" s="36">
        <f>NORMSINV(E5)</f>
        <v>-0.36610635680056969</v>
      </c>
      <c r="G5" s="90">
        <f>F5*C$10</f>
        <v>-0.52774160431130301</v>
      </c>
      <c r="N5"/>
      <c r="O5"/>
      <c r="P5"/>
      <c r="Q5"/>
      <c r="R5"/>
      <c r="S5"/>
      <c r="T5"/>
      <c r="U5"/>
    </row>
    <row r="6" spans="1:21" ht="18.75">
      <c r="A6" s="89">
        <v>4</v>
      </c>
      <c r="B6" s="94" t="s">
        <v>345</v>
      </c>
      <c r="C6" s="36">
        <v>0.5</v>
      </c>
      <c r="D6" s="475" t="s">
        <v>344</v>
      </c>
      <c r="E6" s="36">
        <f>(A6-0.5)/7</f>
        <v>0.5</v>
      </c>
      <c r="F6" s="36">
        <f>NORMSINV(E6)</f>
        <v>0</v>
      </c>
      <c r="G6" s="90">
        <f>F6*C$10</f>
        <v>0</v>
      </c>
      <c r="N6"/>
      <c r="O6"/>
      <c r="P6"/>
      <c r="Q6"/>
      <c r="R6"/>
      <c r="S6"/>
      <c r="T6"/>
      <c r="U6"/>
    </row>
    <row r="7" spans="1:21" ht="18.75">
      <c r="A7" s="89">
        <v>5</v>
      </c>
      <c r="B7" s="94" t="s">
        <v>343</v>
      </c>
      <c r="C7" s="36">
        <v>1.2999999999999998</v>
      </c>
      <c r="D7" s="475" t="s">
        <v>342</v>
      </c>
      <c r="E7" s="36">
        <f>(A7-0.5)/7</f>
        <v>0.6428571428571429</v>
      </c>
      <c r="F7" s="36">
        <f>NORMSINV(E7)</f>
        <v>0.3661063568005698</v>
      </c>
      <c r="G7" s="90">
        <f>F7*C$10</f>
        <v>0.52774160431130313</v>
      </c>
      <c r="N7"/>
      <c r="O7"/>
      <c r="P7"/>
      <c r="Q7"/>
      <c r="R7"/>
      <c r="S7"/>
      <c r="T7"/>
      <c r="U7"/>
    </row>
    <row r="8" spans="1:21" ht="18.75">
      <c r="A8" s="89">
        <v>6</v>
      </c>
      <c r="B8" s="94" t="s">
        <v>341</v>
      </c>
      <c r="C8" s="36">
        <v>3.2749999999999995</v>
      </c>
      <c r="D8" s="475" t="s">
        <v>340</v>
      </c>
      <c r="E8" s="36">
        <f>(A8-0.5)/7</f>
        <v>0.7857142857142857</v>
      </c>
      <c r="F8" s="36">
        <f>NORMSINV(E8)</f>
        <v>0.79163860774337469</v>
      </c>
      <c r="G8" s="90">
        <f>F8*C$10</f>
        <v>1.1411455199419929</v>
      </c>
      <c r="N8"/>
      <c r="O8"/>
      <c r="P8"/>
      <c r="Q8"/>
      <c r="R8"/>
      <c r="S8"/>
      <c r="T8"/>
      <c r="U8"/>
    </row>
    <row r="9" spans="1:21" ht="18.75">
      <c r="A9" s="75">
        <v>7</v>
      </c>
      <c r="B9" s="96" t="s">
        <v>339</v>
      </c>
      <c r="C9" s="65">
        <v>3.3749999999999996</v>
      </c>
      <c r="D9" s="97" t="s">
        <v>66</v>
      </c>
      <c r="E9" s="65">
        <f>(A9-0.5)/7</f>
        <v>0.9285714285714286</v>
      </c>
      <c r="F9" s="65">
        <f>NORMSINV(E9)</f>
        <v>1.4652337926855228</v>
      </c>
      <c r="G9" s="77">
        <f>F9*C$10</f>
        <v>2.1121316745237939</v>
      </c>
      <c r="N9"/>
      <c r="O9"/>
      <c r="P9"/>
      <c r="Q9"/>
      <c r="R9"/>
      <c r="S9"/>
      <c r="T9"/>
      <c r="U9"/>
    </row>
    <row r="10" spans="1:21">
      <c r="B10" s="979" t="s">
        <v>338</v>
      </c>
      <c r="C10" s="508">
        <f>STDEV(C3:C9)</f>
        <v>1.441498063358625</v>
      </c>
      <c r="D10"/>
      <c r="J10"/>
      <c r="L10"/>
      <c r="M10"/>
      <c r="N10"/>
      <c r="O10"/>
      <c r="P10"/>
      <c r="Q10"/>
      <c r="R10"/>
      <c r="S10"/>
      <c r="T10"/>
      <c r="U10"/>
    </row>
    <row r="11" spans="1:21">
      <c r="B11" s="1"/>
      <c r="D11"/>
      <c r="E11"/>
      <c r="F11"/>
      <c r="G11"/>
      <c r="H11"/>
      <c r="I11"/>
      <c r="J11"/>
      <c r="L11"/>
      <c r="M11"/>
      <c r="N11"/>
      <c r="O11"/>
      <c r="P11"/>
      <c r="Q11"/>
      <c r="R11"/>
      <c r="S11"/>
      <c r="T11"/>
      <c r="U11"/>
    </row>
    <row r="12" spans="1:21">
      <c r="B12" s="959"/>
      <c r="D12"/>
      <c r="E12"/>
      <c r="F12"/>
      <c r="G12"/>
      <c r="H12"/>
      <c r="I12"/>
      <c r="J12"/>
      <c r="L12"/>
      <c r="M12"/>
      <c r="N12"/>
      <c r="O12"/>
      <c r="P12"/>
      <c r="Q12"/>
      <c r="R12"/>
      <c r="S12"/>
      <c r="T12"/>
      <c r="U12"/>
    </row>
    <row r="13" spans="1:21">
      <c r="B13" s="1"/>
      <c r="E13"/>
      <c r="F13"/>
      <c r="G13"/>
      <c r="H13"/>
      <c r="I13"/>
      <c r="J13"/>
      <c r="L13"/>
      <c r="M13"/>
      <c r="N13"/>
      <c r="O13"/>
      <c r="P13"/>
      <c r="Q13"/>
      <c r="R13"/>
      <c r="S13"/>
      <c r="T13"/>
      <c r="U13"/>
    </row>
  </sheetData>
  <mergeCells count="1">
    <mergeCell ref="A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2A0D-5561-4DFA-8A56-F6DB152EE763}">
  <dimension ref="A1:AG19"/>
  <sheetViews>
    <sheetView zoomScaleNormal="100" workbookViewId="0">
      <selection activeCell="A11" sqref="A11"/>
    </sheetView>
  </sheetViews>
  <sheetFormatPr defaultColWidth="4.875" defaultRowHeight="15.75"/>
  <cols>
    <col min="2" max="27" width="3.875" customWidth="1"/>
    <col min="33" max="33" width="5.875" customWidth="1"/>
  </cols>
  <sheetData>
    <row r="1" spans="1:33">
      <c r="B1" s="969" t="s">
        <v>14</v>
      </c>
      <c r="C1" s="568"/>
      <c r="D1" s="568"/>
      <c r="E1" s="568"/>
      <c r="F1" s="568"/>
      <c r="G1" s="570"/>
      <c r="H1" s="969" t="s">
        <v>337</v>
      </c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70"/>
    </row>
    <row r="2" spans="1:33">
      <c r="A2" s="974" t="s">
        <v>10</v>
      </c>
      <c r="B2" s="977">
        <v>0</v>
      </c>
      <c r="C2" s="465">
        <v>1</v>
      </c>
      <c r="D2" s="465">
        <v>2</v>
      </c>
      <c r="E2" s="465">
        <v>3</v>
      </c>
      <c r="F2" s="465">
        <v>4</v>
      </c>
      <c r="G2" s="465">
        <v>5</v>
      </c>
      <c r="H2" s="975">
        <v>12</v>
      </c>
      <c r="I2" s="465">
        <v>13</v>
      </c>
      <c r="J2" s="465">
        <v>14</v>
      </c>
      <c r="K2" s="503">
        <v>15</v>
      </c>
      <c r="L2" s="975">
        <v>23</v>
      </c>
      <c r="M2" s="465">
        <v>24</v>
      </c>
      <c r="N2" s="503">
        <v>25</v>
      </c>
      <c r="O2" s="975">
        <v>34</v>
      </c>
      <c r="P2" s="503">
        <v>35</v>
      </c>
      <c r="Q2" s="975">
        <v>45</v>
      </c>
      <c r="R2" s="975">
        <v>123</v>
      </c>
      <c r="S2" s="465">
        <v>124</v>
      </c>
      <c r="T2" s="503">
        <v>125</v>
      </c>
      <c r="U2" s="975">
        <v>134</v>
      </c>
      <c r="V2" s="503">
        <v>135</v>
      </c>
      <c r="W2" s="976">
        <v>145</v>
      </c>
      <c r="X2" s="975">
        <v>234</v>
      </c>
      <c r="Y2" s="465">
        <v>235</v>
      </c>
      <c r="Z2" s="503">
        <v>245</v>
      </c>
      <c r="AA2" s="976">
        <v>345</v>
      </c>
      <c r="AB2" s="975">
        <v>1234</v>
      </c>
      <c r="AC2" s="465">
        <v>1235</v>
      </c>
      <c r="AD2" s="465">
        <v>1245</v>
      </c>
      <c r="AE2" s="465">
        <v>1345</v>
      </c>
      <c r="AF2" s="503">
        <v>2345</v>
      </c>
      <c r="AG2" s="9">
        <v>12345</v>
      </c>
    </row>
    <row r="3" spans="1:33">
      <c r="A3" s="974">
        <v>1</v>
      </c>
      <c r="B3" s="961">
        <v>1</v>
      </c>
      <c r="C3" s="959">
        <v>-1</v>
      </c>
      <c r="D3" s="959">
        <v>-1</v>
      </c>
      <c r="E3" s="959">
        <v>-1</v>
      </c>
      <c r="F3" s="959">
        <f>PRODUCT(C3:E3)</f>
        <v>-1</v>
      </c>
      <c r="G3" s="959">
        <f>C3*D3</f>
        <v>1</v>
      </c>
      <c r="H3" s="972">
        <f>$C3*D3</f>
        <v>1</v>
      </c>
      <c r="I3" s="971">
        <f>$C3*E3</f>
        <v>1</v>
      </c>
      <c r="J3" s="971">
        <f>$C3*F3</f>
        <v>1</v>
      </c>
      <c r="K3" s="970">
        <f>$C3*G3</f>
        <v>-1</v>
      </c>
      <c r="L3" s="972">
        <f>$D3*E3</f>
        <v>1</v>
      </c>
      <c r="M3" s="971">
        <f>$D3*F3</f>
        <v>1</v>
      </c>
      <c r="N3" s="970">
        <f>$D3*G3</f>
        <v>-1</v>
      </c>
      <c r="O3" s="972">
        <f>$E3*F3</f>
        <v>1</v>
      </c>
      <c r="P3" s="970">
        <f>$E3*G3</f>
        <v>-1</v>
      </c>
      <c r="Q3" s="972">
        <f>F3*G3</f>
        <v>-1</v>
      </c>
      <c r="R3" s="972">
        <f>$H3*E3</f>
        <v>-1</v>
      </c>
      <c r="S3" s="971">
        <f>$H3*F3</f>
        <v>-1</v>
      </c>
      <c r="T3" s="970">
        <f>$H3*G3</f>
        <v>1</v>
      </c>
      <c r="U3" s="972">
        <f>I3*F3</f>
        <v>-1</v>
      </c>
      <c r="V3" s="970">
        <f>I3*G3</f>
        <v>1</v>
      </c>
      <c r="W3" s="973">
        <f>J3*G3</f>
        <v>1</v>
      </c>
      <c r="X3" s="972">
        <f>L3*F3</f>
        <v>-1</v>
      </c>
      <c r="Y3" s="971">
        <f>L3*G3</f>
        <v>1</v>
      </c>
      <c r="Z3" s="970">
        <f>M3*G3</f>
        <v>1</v>
      </c>
      <c r="AA3" s="973">
        <f>O3*G3</f>
        <v>1</v>
      </c>
      <c r="AB3" s="972">
        <f>R3*F3</f>
        <v>1</v>
      </c>
      <c r="AC3" s="971">
        <f>R3*G3</f>
        <v>-1</v>
      </c>
      <c r="AD3" s="971">
        <f>S3*G3</f>
        <v>-1</v>
      </c>
      <c r="AE3" s="971">
        <f>U3*G3</f>
        <v>-1</v>
      </c>
      <c r="AF3" s="970">
        <f>X3*G3</f>
        <v>-1</v>
      </c>
      <c r="AG3" s="970">
        <f>PRODUCT(B3:G3)</f>
        <v>1</v>
      </c>
    </row>
    <row r="4" spans="1:33">
      <c r="A4" s="962">
        <v>2</v>
      </c>
      <c r="B4" s="961">
        <v>1</v>
      </c>
      <c r="C4" s="959">
        <v>-1</v>
      </c>
      <c r="D4" s="959">
        <v>-1</v>
      </c>
      <c r="E4" s="959">
        <v>1</v>
      </c>
      <c r="F4" s="959">
        <f>PRODUCT(C4:E4)</f>
        <v>1</v>
      </c>
      <c r="G4" s="959">
        <f>C4*D4</f>
        <v>1</v>
      </c>
      <c r="H4" s="960">
        <f>$C4*D4</f>
        <v>1</v>
      </c>
      <c r="I4" s="959">
        <f>$C4*E4</f>
        <v>-1</v>
      </c>
      <c r="J4" s="959">
        <f>$C4*F4</f>
        <v>-1</v>
      </c>
      <c r="K4" s="958">
        <f>$C4*G4</f>
        <v>-1</v>
      </c>
      <c r="L4" s="960">
        <f>$D4*E4</f>
        <v>-1</v>
      </c>
      <c r="M4" s="959">
        <f>$D4*F4</f>
        <v>-1</v>
      </c>
      <c r="N4" s="958">
        <f>$D4*G4</f>
        <v>-1</v>
      </c>
      <c r="O4" s="960">
        <f>$E4*F4</f>
        <v>1</v>
      </c>
      <c r="P4" s="958">
        <f>$E4*G4</f>
        <v>1</v>
      </c>
      <c r="Q4" s="960">
        <f>F4*G4</f>
        <v>1</v>
      </c>
      <c r="R4" s="960">
        <f>$H4*E4</f>
        <v>1</v>
      </c>
      <c r="S4" s="959">
        <f>$H4*F4</f>
        <v>1</v>
      </c>
      <c r="T4" s="958">
        <f>$H4*G4</f>
        <v>1</v>
      </c>
      <c r="U4" s="960">
        <f>I4*F4</f>
        <v>-1</v>
      </c>
      <c r="V4" s="958">
        <f>I4*G4</f>
        <v>-1</v>
      </c>
      <c r="W4" s="961">
        <f>J4*G4</f>
        <v>-1</v>
      </c>
      <c r="X4" s="960">
        <f>L4*F4</f>
        <v>-1</v>
      </c>
      <c r="Y4" s="959">
        <f>L4*G4</f>
        <v>-1</v>
      </c>
      <c r="Z4" s="958">
        <f>M4*G4</f>
        <v>-1</v>
      </c>
      <c r="AA4" s="961">
        <f>O4*G4</f>
        <v>1</v>
      </c>
      <c r="AB4" s="960">
        <f>R4*F4</f>
        <v>1</v>
      </c>
      <c r="AC4" s="959">
        <f>R4*G4</f>
        <v>1</v>
      </c>
      <c r="AD4" s="959">
        <f>S4*G4</f>
        <v>1</v>
      </c>
      <c r="AE4" s="959">
        <f>U4*G4</f>
        <v>-1</v>
      </c>
      <c r="AF4" s="958">
        <f>X4*G4</f>
        <v>-1</v>
      </c>
      <c r="AG4" s="958">
        <f>PRODUCT(B4:G4)</f>
        <v>1</v>
      </c>
    </row>
    <row r="5" spans="1:33">
      <c r="A5" s="962">
        <v>3</v>
      </c>
      <c r="B5" s="961">
        <v>1</v>
      </c>
      <c r="C5" s="959">
        <v>-1</v>
      </c>
      <c r="D5" s="959">
        <v>1</v>
      </c>
      <c r="E5" s="959">
        <v>-1</v>
      </c>
      <c r="F5" s="959">
        <f>PRODUCT(C5:E5)</f>
        <v>1</v>
      </c>
      <c r="G5" s="959">
        <f>C5*D5</f>
        <v>-1</v>
      </c>
      <c r="H5" s="960">
        <f>$C5*D5</f>
        <v>-1</v>
      </c>
      <c r="I5" s="959">
        <f>$C5*E5</f>
        <v>1</v>
      </c>
      <c r="J5" s="959">
        <f>$C5*F5</f>
        <v>-1</v>
      </c>
      <c r="K5" s="958">
        <f>$C5*G5</f>
        <v>1</v>
      </c>
      <c r="L5" s="960">
        <f>$D5*E5</f>
        <v>-1</v>
      </c>
      <c r="M5" s="959">
        <f>$D5*F5</f>
        <v>1</v>
      </c>
      <c r="N5" s="958">
        <f>$D5*G5</f>
        <v>-1</v>
      </c>
      <c r="O5" s="960">
        <f>$E5*F5</f>
        <v>-1</v>
      </c>
      <c r="P5" s="958">
        <f>$E5*G5</f>
        <v>1</v>
      </c>
      <c r="Q5" s="960">
        <f>F5*G5</f>
        <v>-1</v>
      </c>
      <c r="R5" s="960">
        <f>$H5*E5</f>
        <v>1</v>
      </c>
      <c r="S5" s="959">
        <f>$H5*F5</f>
        <v>-1</v>
      </c>
      <c r="T5" s="958">
        <f>$H5*G5</f>
        <v>1</v>
      </c>
      <c r="U5" s="960">
        <f>I5*F5</f>
        <v>1</v>
      </c>
      <c r="V5" s="958">
        <f>I5*G5</f>
        <v>-1</v>
      </c>
      <c r="W5" s="961">
        <f>J5*G5</f>
        <v>1</v>
      </c>
      <c r="X5" s="960">
        <f>L5*F5</f>
        <v>-1</v>
      </c>
      <c r="Y5" s="959">
        <f>L5*G5</f>
        <v>1</v>
      </c>
      <c r="Z5" s="958">
        <f>M5*G5</f>
        <v>-1</v>
      </c>
      <c r="AA5" s="961">
        <f>O5*G5</f>
        <v>1</v>
      </c>
      <c r="AB5" s="960">
        <f>R5*F5</f>
        <v>1</v>
      </c>
      <c r="AC5" s="959">
        <f>R5*G5</f>
        <v>-1</v>
      </c>
      <c r="AD5" s="959">
        <f>S5*G5</f>
        <v>1</v>
      </c>
      <c r="AE5" s="959">
        <f>U5*G5</f>
        <v>-1</v>
      </c>
      <c r="AF5" s="958">
        <f>X5*G5</f>
        <v>1</v>
      </c>
      <c r="AG5" s="958">
        <f>PRODUCT(B5:G5)</f>
        <v>-1</v>
      </c>
    </row>
    <row r="6" spans="1:33">
      <c r="A6" s="962">
        <v>4</v>
      </c>
      <c r="B6" s="961">
        <v>1</v>
      </c>
      <c r="C6" s="959">
        <v>-1</v>
      </c>
      <c r="D6" s="959">
        <v>1</v>
      </c>
      <c r="E6" s="959">
        <v>1</v>
      </c>
      <c r="F6" s="959">
        <f>PRODUCT(C6:E6)</f>
        <v>-1</v>
      </c>
      <c r="G6" s="959">
        <f>C6*D6</f>
        <v>-1</v>
      </c>
      <c r="H6" s="960">
        <f>$C6*D6</f>
        <v>-1</v>
      </c>
      <c r="I6" s="959">
        <f>$C6*E6</f>
        <v>-1</v>
      </c>
      <c r="J6" s="959">
        <f>$C6*F6</f>
        <v>1</v>
      </c>
      <c r="K6" s="958">
        <f>$C6*G6</f>
        <v>1</v>
      </c>
      <c r="L6" s="960">
        <f>$D6*E6</f>
        <v>1</v>
      </c>
      <c r="M6" s="959">
        <f>$D6*F6</f>
        <v>-1</v>
      </c>
      <c r="N6" s="958">
        <f>$D6*G6</f>
        <v>-1</v>
      </c>
      <c r="O6" s="960">
        <f>$E6*F6</f>
        <v>-1</v>
      </c>
      <c r="P6" s="958">
        <f>$E6*G6</f>
        <v>-1</v>
      </c>
      <c r="Q6" s="960">
        <f>F6*G6</f>
        <v>1</v>
      </c>
      <c r="R6" s="960">
        <f>$H6*E6</f>
        <v>-1</v>
      </c>
      <c r="S6" s="959">
        <f>$H6*F6</f>
        <v>1</v>
      </c>
      <c r="T6" s="958">
        <f>$H6*G6</f>
        <v>1</v>
      </c>
      <c r="U6" s="960">
        <f>I6*F6</f>
        <v>1</v>
      </c>
      <c r="V6" s="958">
        <f>I6*G6</f>
        <v>1</v>
      </c>
      <c r="W6" s="961">
        <f>J6*G6</f>
        <v>-1</v>
      </c>
      <c r="X6" s="960">
        <f>L6*F6</f>
        <v>-1</v>
      </c>
      <c r="Y6" s="959">
        <f>L6*G6</f>
        <v>-1</v>
      </c>
      <c r="Z6" s="958">
        <f>M6*G6</f>
        <v>1</v>
      </c>
      <c r="AA6" s="961">
        <f>O6*G6</f>
        <v>1</v>
      </c>
      <c r="AB6" s="960">
        <f>R6*F6</f>
        <v>1</v>
      </c>
      <c r="AC6" s="959">
        <f>R6*G6</f>
        <v>1</v>
      </c>
      <c r="AD6" s="959">
        <f>S6*G6</f>
        <v>-1</v>
      </c>
      <c r="AE6" s="959">
        <f>U6*G6</f>
        <v>-1</v>
      </c>
      <c r="AF6" s="958">
        <f>X6*G6</f>
        <v>1</v>
      </c>
      <c r="AG6" s="958">
        <f>PRODUCT(B6:G6)</f>
        <v>-1</v>
      </c>
    </row>
    <row r="7" spans="1:33">
      <c r="A7" s="962">
        <v>5</v>
      </c>
      <c r="B7" s="961">
        <v>1</v>
      </c>
      <c r="C7" s="959">
        <v>1</v>
      </c>
      <c r="D7" s="959">
        <v>-1</v>
      </c>
      <c r="E7" s="959">
        <v>-1</v>
      </c>
      <c r="F7" s="959">
        <f>PRODUCT(C7:E7)</f>
        <v>1</v>
      </c>
      <c r="G7" s="959">
        <f>C7*D7</f>
        <v>-1</v>
      </c>
      <c r="H7" s="960">
        <f>$C7*D7</f>
        <v>-1</v>
      </c>
      <c r="I7" s="959">
        <f>$C7*E7</f>
        <v>-1</v>
      </c>
      <c r="J7" s="959">
        <f>$C7*F7</f>
        <v>1</v>
      </c>
      <c r="K7" s="958">
        <f>$C7*G7</f>
        <v>-1</v>
      </c>
      <c r="L7" s="960">
        <f>$D7*E7</f>
        <v>1</v>
      </c>
      <c r="M7" s="959">
        <f>$D7*F7</f>
        <v>-1</v>
      </c>
      <c r="N7" s="958">
        <f>$D7*G7</f>
        <v>1</v>
      </c>
      <c r="O7" s="960">
        <f>$E7*F7</f>
        <v>-1</v>
      </c>
      <c r="P7" s="958">
        <f>$E7*G7</f>
        <v>1</v>
      </c>
      <c r="Q7" s="960">
        <f>F7*G7</f>
        <v>-1</v>
      </c>
      <c r="R7" s="960">
        <f>$H7*E7</f>
        <v>1</v>
      </c>
      <c r="S7" s="959">
        <f>$H7*F7</f>
        <v>-1</v>
      </c>
      <c r="T7" s="958">
        <f>$H7*G7</f>
        <v>1</v>
      </c>
      <c r="U7" s="960">
        <f>I7*F7</f>
        <v>-1</v>
      </c>
      <c r="V7" s="958">
        <f>I7*G7</f>
        <v>1</v>
      </c>
      <c r="W7" s="961">
        <f>J7*G7</f>
        <v>-1</v>
      </c>
      <c r="X7" s="960">
        <f>L7*F7</f>
        <v>1</v>
      </c>
      <c r="Y7" s="959">
        <f>L7*G7</f>
        <v>-1</v>
      </c>
      <c r="Z7" s="958">
        <f>M7*G7</f>
        <v>1</v>
      </c>
      <c r="AA7" s="961">
        <f>O7*G7</f>
        <v>1</v>
      </c>
      <c r="AB7" s="960">
        <f>R7*F7</f>
        <v>1</v>
      </c>
      <c r="AC7" s="959">
        <f>R7*G7</f>
        <v>-1</v>
      </c>
      <c r="AD7" s="959">
        <f>S7*G7</f>
        <v>1</v>
      </c>
      <c r="AE7" s="959">
        <f>U7*G7</f>
        <v>1</v>
      </c>
      <c r="AF7" s="958">
        <f>X7*G7</f>
        <v>-1</v>
      </c>
      <c r="AG7" s="958">
        <f>PRODUCT(B7:G7)</f>
        <v>-1</v>
      </c>
    </row>
    <row r="8" spans="1:33">
      <c r="A8" s="962">
        <v>6</v>
      </c>
      <c r="B8" s="961">
        <v>1</v>
      </c>
      <c r="C8" s="959">
        <v>1</v>
      </c>
      <c r="D8" s="959">
        <v>-1</v>
      </c>
      <c r="E8" s="959">
        <v>1</v>
      </c>
      <c r="F8" s="959">
        <f>PRODUCT(C8:E8)</f>
        <v>-1</v>
      </c>
      <c r="G8" s="959">
        <f>C8*D8</f>
        <v>-1</v>
      </c>
      <c r="H8" s="960">
        <f>$C8*D8</f>
        <v>-1</v>
      </c>
      <c r="I8" s="959">
        <f>$C8*E8</f>
        <v>1</v>
      </c>
      <c r="J8" s="959">
        <f>$C8*F8</f>
        <v>-1</v>
      </c>
      <c r="K8" s="958">
        <f>$C8*G8</f>
        <v>-1</v>
      </c>
      <c r="L8" s="960">
        <f>$D8*E8</f>
        <v>-1</v>
      </c>
      <c r="M8" s="959">
        <f>$D8*F8</f>
        <v>1</v>
      </c>
      <c r="N8" s="958">
        <f>$D8*G8</f>
        <v>1</v>
      </c>
      <c r="O8" s="960">
        <f>$E8*F8</f>
        <v>-1</v>
      </c>
      <c r="P8" s="958">
        <f>$E8*G8</f>
        <v>-1</v>
      </c>
      <c r="Q8" s="960">
        <f>F8*G8</f>
        <v>1</v>
      </c>
      <c r="R8" s="960">
        <f>$H8*E8</f>
        <v>-1</v>
      </c>
      <c r="S8" s="959">
        <f>$H8*F8</f>
        <v>1</v>
      </c>
      <c r="T8" s="958">
        <f>$H8*G8</f>
        <v>1</v>
      </c>
      <c r="U8" s="960">
        <f>I8*F8</f>
        <v>-1</v>
      </c>
      <c r="V8" s="958">
        <f>I8*G8</f>
        <v>-1</v>
      </c>
      <c r="W8" s="961">
        <f>J8*G8</f>
        <v>1</v>
      </c>
      <c r="X8" s="960">
        <f>L8*F8</f>
        <v>1</v>
      </c>
      <c r="Y8" s="959">
        <f>L8*G8</f>
        <v>1</v>
      </c>
      <c r="Z8" s="958">
        <f>M8*G8</f>
        <v>-1</v>
      </c>
      <c r="AA8" s="961">
        <f>O8*G8</f>
        <v>1</v>
      </c>
      <c r="AB8" s="960">
        <f>R8*F8</f>
        <v>1</v>
      </c>
      <c r="AC8" s="959">
        <f>R8*G8</f>
        <v>1</v>
      </c>
      <c r="AD8" s="959">
        <f>S8*G8</f>
        <v>-1</v>
      </c>
      <c r="AE8" s="959">
        <f>U8*G8</f>
        <v>1</v>
      </c>
      <c r="AF8" s="958">
        <f>X8*G8</f>
        <v>-1</v>
      </c>
      <c r="AG8" s="958">
        <f>PRODUCT(B8:G8)</f>
        <v>-1</v>
      </c>
    </row>
    <row r="9" spans="1:33">
      <c r="A9" s="962">
        <v>7</v>
      </c>
      <c r="B9" s="961">
        <v>1</v>
      </c>
      <c r="C9" s="959">
        <v>1</v>
      </c>
      <c r="D9" s="959">
        <v>1</v>
      </c>
      <c r="E9" s="959">
        <v>-1</v>
      </c>
      <c r="F9" s="959">
        <f>PRODUCT(C9:E9)</f>
        <v>-1</v>
      </c>
      <c r="G9" s="959">
        <f>C9*D9</f>
        <v>1</v>
      </c>
      <c r="H9" s="960">
        <f>$C9*D9</f>
        <v>1</v>
      </c>
      <c r="I9" s="959">
        <f>$C9*E9</f>
        <v>-1</v>
      </c>
      <c r="J9" s="959">
        <f>$C9*F9</f>
        <v>-1</v>
      </c>
      <c r="K9" s="958">
        <f>$C9*G9</f>
        <v>1</v>
      </c>
      <c r="L9" s="960">
        <f>$D9*E9</f>
        <v>-1</v>
      </c>
      <c r="M9" s="959">
        <f>$D9*F9</f>
        <v>-1</v>
      </c>
      <c r="N9" s="958">
        <f>$D9*G9</f>
        <v>1</v>
      </c>
      <c r="O9" s="960">
        <f>$E9*F9</f>
        <v>1</v>
      </c>
      <c r="P9" s="958">
        <f>$E9*G9</f>
        <v>-1</v>
      </c>
      <c r="Q9" s="960">
        <f>F9*G9</f>
        <v>-1</v>
      </c>
      <c r="R9" s="960">
        <f>$H9*E9</f>
        <v>-1</v>
      </c>
      <c r="S9" s="959">
        <f>$H9*F9</f>
        <v>-1</v>
      </c>
      <c r="T9" s="958">
        <f>$H9*G9</f>
        <v>1</v>
      </c>
      <c r="U9" s="960">
        <f>I9*F9</f>
        <v>1</v>
      </c>
      <c r="V9" s="958">
        <f>I9*G9</f>
        <v>-1</v>
      </c>
      <c r="W9" s="961">
        <f>J9*G9</f>
        <v>-1</v>
      </c>
      <c r="X9" s="960">
        <f>L9*F9</f>
        <v>1</v>
      </c>
      <c r="Y9" s="959">
        <f>L9*G9</f>
        <v>-1</v>
      </c>
      <c r="Z9" s="958">
        <f>M9*G9</f>
        <v>-1</v>
      </c>
      <c r="AA9" s="961">
        <f>O9*G9</f>
        <v>1</v>
      </c>
      <c r="AB9" s="960">
        <f>R9*F9</f>
        <v>1</v>
      </c>
      <c r="AC9" s="959">
        <f>R9*G9</f>
        <v>-1</v>
      </c>
      <c r="AD9" s="959">
        <f>S9*G9</f>
        <v>-1</v>
      </c>
      <c r="AE9" s="959">
        <f>U9*G9</f>
        <v>1</v>
      </c>
      <c r="AF9" s="958">
        <f>X9*G9</f>
        <v>1</v>
      </c>
      <c r="AG9" s="958">
        <f>PRODUCT(B9:G9)</f>
        <v>1</v>
      </c>
    </row>
    <row r="10" spans="1:33">
      <c r="A10" s="956">
        <v>8</v>
      </c>
      <c r="B10" s="955">
        <v>1</v>
      </c>
      <c r="C10" s="953">
        <v>1</v>
      </c>
      <c r="D10" s="953">
        <v>1</v>
      </c>
      <c r="E10" s="953">
        <v>1</v>
      </c>
      <c r="F10" s="953">
        <f>PRODUCT(C10:E10)</f>
        <v>1</v>
      </c>
      <c r="G10" s="953">
        <f>C10*D10</f>
        <v>1</v>
      </c>
      <c r="H10" s="954">
        <f>$C10*D10</f>
        <v>1</v>
      </c>
      <c r="I10" s="953">
        <f>$C10*E10</f>
        <v>1</v>
      </c>
      <c r="J10" s="953">
        <f>$C10*F10</f>
        <v>1</v>
      </c>
      <c r="K10" s="952">
        <f>$C10*G10</f>
        <v>1</v>
      </c>
      <c r="L10" s="954">
        <f>$D10*E10</f>
        <v>1</v>
      </c>
      <c r="M10" s="953">
        <f>$D10*F10</f>
        <v>1</v>
      </c>
      <c r="N10" s="952">
        <f>$D10*G10</f>
        <v>1</v>
      </c>
      <c r="O10" s="954">
        <f>$E10*F10</f>
        <v>1</v>
      </c>
      <c r="P10" s="952">
        <f>$E10*G10</f>
        <v>1</v>
      </c>
      <c r="Q10" s="954">
        <f>F10*G10</f>
        <v>1</v>
      </c>
      <c r="R10" s="954">
        <f>$H10*E10</f>
        <v>1</v>
      </c>
      <c r="S10" s="953">
        <f>$H10*F10</f>
        <v>1</v>
      </c>
      <c r="T10" s="952">
        <f>$H10*G10</f>
        <v>1</v>
      </c>
      <c r="U10" s="954">
        <f>I10*F10</f>
        <v>1</v>
      </c>
      <c r="V10" s="952">
        <f>I10*G10</f>
        <v>1</v>
      </c>
      <c r="W10" s="955">
        <f>J10*G10</f>
        <v>1</v>
      </c>
      <c r="X10" s="954">
        <f>L10*F10</f>
        <v>1</v>
      </c>
      <c r="Y10" s="953">
        <f>L10*G10</f>
        <v>1</v>
      </c>
      <c r="Z10" s="952">
        <f>M10*G10</f>
        <v>1</v>
      </c>
      <c r="AA10" s="955">
        <f>O10*G10</f>
        <v>1</v>
      </c>
      <c r="AB10" s="954">
        <f>R10*F10</f>
        <v>1</v>
      </c>
      <c r="AC10" s="953">
        <f>R10*G10</f>
        <v>1</v>
      </c>
      <c r="AD10" s="953">
        <f>S10*G10</f>
        <v>1</v>
      </c>
      <c r="AE10" s="953">
        <f>U10*G10</f>
        <v>1</v>
      </c>
      <c r="AF10" s="952">
        <f>X10*G10</f>
        <v>1</v>
      </c>
      <c r="AG10" s="952">
        <f>PRODUCT(B10:G10)</f>
        <v>1</v>
      </c>
    </row>
    <row r="12" spans="1:33">
      <c r="H12" s="969" t="s">
        <v>336</v>
      </c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70"/>
    </row>
    <row r="13" spans="1:33">
      <c r="H13" s="968">
        <v>12</v>
      </c>
      <c r="I13" s="13">
        <v>13</v>
      </c>
      <c r="J13" s="13">
        <v>14</v>
      </c>
      <c r="K13" s="8">
        <v>15</v>
      </c>
      <c r="L13" s="968">
        <v>23</v>
      </c>
      <c r="M13" s="13">
        <v>24</v>
      </c>
      <c r="N13" s="8">
        <v>25</v>
      </c>
      <c r="O13" s="968">
        <v>34</v>
      </c>
      <c r="P13" s="8">
        <v>35</v>
      </c>
      <c r="Q13" s="968">
        <v>45</v>
      </c>
      <c r="R13" s="968">
        <v>123</v>
      </c>
      <c r="S13" s="13">
        <v>124</v>
      </c>
      <c r="T13" s="8">
        <v>125</v>
      </c>
      <c r="U13" s="968">
        <v>134</v>
      </c>
      <c r="V13" s="8">
        <v>135</v>
      </c>
      <c r="W13" s="966">
        <v>145</v>
      </c>
      <c r="X13" s="968">
        <v>234</v>
      </c>
      <c r="Y13" s="13">
        <v>235</v>
      </c>
      <c r="Z13" s="8">
        <v>245</v>
      </c>
      <c r="AA13" s="966">
        <v>345</v>
      </c>
      <c r="AB13" s="968">
        <v>1234</v>
      </c>
      <c r="AC13" s="13">
        <v>1235</v>
      </c>
      <c r="AD13" s="13">
        <v>1245</v>
      </c>
      <c r="AE13" s="13">
        <v>1345</v>
      </c>
      <c r="AF13" s="8">
        <v>2345</v>
      </c>
      <c r="AG13" s="9">
        <v>12345</v>
      </c>
    </row>
    <row r="14" spans="1:33">
      <c r="F14" s="967" t="s">
        <v>335</v>
      </c>
      <c r="G14" s="966">
        <v>0</v>
      </c>
      <c r="H14" s="964">
        <f t="array" ref="H14:AG19">MMULT(MMULT(MINVERSE(MMULT(TRANSPOSE(B3:G10),B3:G10)),TRANSPOSE(B3:G10)),H3:AG10)</f>
        <v>0</v>
      </c>
      <c r="I14" s="3">
        <v>0</v>
      </c>
      <c r="J14" s="3">
        <v>0</v>
      </c>
      <c r="K14" s="4">
        <v>0</v>
      </c>
      <c r="L14" s="964">
        <v>0</v>
      </c>
      <c r="M14" s="3">
        <v>0</v>
      </c>
      <c r="N14" s="4">
        <v>0</v>
      </c>
      <c r="O14" s="964">
        <v>0</v>
      </c>
      <c r="P14" s="4">
        <v>0</v>
      </c>
      <c r="Q14" s="964">
        <v>0</v>
      </c>
      <c r="R14" s="964">
        <v>0</v>
      </c>
      <c r="S14" s="3">
        <v>0</v>
      </c>
      <c r="T14" s="4">
        <v>1</v>
      </c>
      <c r="U14" s="964">
        <v>0</v>
      </c>
      <c r="V14" s="4">
        <v>0</v>
      </c>
      <c r="W14" s="965">
        <v>0</v>
      </c>
      <c r="X14" s="964">
        <v>0</v>
      </c>
      <c r="Y14" s="3">
        <v>0</v>
      </c>
      <c r="Z14" s="4">
        <v>0</v>
      </c>
      <c r="AA14" s="965">
        <v>1</v>
      </c>
      <c r="AB14" s="964">
        <v>1</v>
      </c>
      <c r="AC14" s="3">
        <v>0</v>
      </c>
      <c r="AD14" s="3">
        <v>0</v>
      </c>
      <c r="AE14" s="3">
        <v>0</v>
      </c>
      <c r="AF14" s="4">
        <v>0</v>
      </c>
      <c r="AG14" s="4">
        <v>0</v>
      </c>
    </row>
    <row r="15" spans="1:33">
      <c r="F15" s="963"/>
      <c r="G15" s="962">
        <v>1</v>
      </c>
      <c r="H15" s="960">
        <v>0</v>
      </c>
      <c r="I15" s="959">
        <v>0</v>
      </c>
      <c r="J15" s="959">
        <v>0</v>
      </c>
      <c r="K15" s="958">
        <v>0</v>
      </c>
      <c r="L15" s="960">
        <v>0</v>
      </c>
      <c r="M15" s="959">
        <v>0</v>
      </c>
      <c r="N15" s="958">
        <v>1</v>
      </c>
      <c r="O15" s="960">
        <v>0</v>
      </c>
      <c r="P15" s="958">
        <v>0</v>
      </c>
      <c r="Q15" s="960">
        <v>0</v>
      </c>
      <c r="R15" s="960">
        <v>0</v>
      </c>
      <c r="S15" s="959">
        <v>0</v>
      </c>
      <c r="T15" s="958">
        <v>0</v>
      </c>
      <c r="U15" s="960">
        <v>0</v>
      </c>
      <c r="V15" s="958">
        <v>0</v>
      </c>
      <c r="W15" s="961">
        <v>0</v>
      </c>
      <c r="X15" s="960">
        <v>1</v>
      </c>
      <c r="Y15" s="959">
        <v>0</v>
      </c>
      <c r="Z15" s="958">
        <v>0</v>
      </c>
      <c r="AA15" s="961">
        <v>0</v>
      </c>
      <c r="AB15" s="960">
        <v>0</v>
      </c>
      <c r="AC15" s="959">
        <v>0</v>
      </c>
      <c r="AD15" s="959">
        <v>0</v>
      </c>
      <c r="AE15" s="959">
        <v>1</v>
      </c>
      <c r="AF15" s="958">
        <v>0</v>
      </c>
      <c r="AG15" s="958">
        <v>0</v>
      </c>
    </row>
    <row r="16" spans="1:33">
      <c r="F16" s="963"/>
      <c r="G16" s="962">
        <v>2</v>
      </c>
      <c r="H16" s="960">
        <v>0</v>
      </c>
      <c r="I16" s="959">
        <v>0</v>
      </c>
      <c r="J16" s="959">
        <v>0</v>
      </c>
      <c r="K16" s="958">
        <v>1</v>
      </c>
      <c r="L16" s="960">
        <v>0</v>
      </c>
      <c r="M16" s="959">
        <v>0</v>
      </c>
      <c r="N16" s="958">
        <v>0</v>
      </c>
      <c r="O16" s="960">
        <v>0</v>
      </c>
      <c r="P16" s="958">
        <v>0</v>
      </c>
      <c r="Q16" s="960">
        <v>0</v>
      </c>
      <c r="R16" s="960">
        <v>0</v>
      </c>
      <c r="S16" s="959">
        <v>0</v>
      </c>
      <c r="T16" s="958">
        <v>0</v>
      </c>
      <c r="U16" s="960">
        <v>1</v>
      </c>
      <c r="V16" s="958">
        <v>0</v>
      </c>
      <c r="W16" s="961">
        <v>0</v>
      </c>
      <c r="X16" s="960">
        <v>0</v>
      </c>
      <c r="Y16" s="959">
        <v>0</v>
      </c>
      <c r="Z16" s="958">
        <v>0</v>
      </c>
      <c r="AA16" s="961">
        <v>0</v>
      </c>
      <c r="AB16" s="960">
        <v>0</v>
      </c>
      <c r="AC16" s="959">
        <v>0</v>
      </c>
      <c r="AD16" s="959">
        <v>0</v>
      </c>
      <c r="AE16" s="959">
        <v>0</v>
      </c>
      <c r="AF16" s="958">
        <v>1</v>
      </c>
      <c r="AG16" s="958">
        <v>0</v>
      </c>
    </row>
    <row r="17" spans="6:33">
      <c r="F17" s="963"/>
      <c r="G17" s="962">
        <v>3</v>
      </c>
      <c r="H17" s="960">
        <v>0</v>
      </c>
      <c r="I17" s="959">
        <v>0</v>
      </c>
      <c r="J17" s="959">
        <v>0</v>
      </c>
      <c r="K17" s="958">
        <v>0</v>
      </c>
      <c r="L17" s="960">
        <v>0</v>
      </c>
      <c r="M17" s="959">
        <v>0</v>
      </c>
      <c r="N17" s="958">
        <v>0</v>
      </c>
      <c r="O17" s="960">
        <v>0</v>
      </c>
      <c r="P17" s="958">
        <v>0</v>
      </c>
      <c r="Q17" s="960">
        <v>1</v>
      </c>
      <c r="R17" s="960">
        <v>0</v>
      </c>
      <c r="S17" s="959">
        <v>1</v>
      </c>
      <c r="T17" s="958">
        <v>0</v>
      </c>
      <c r="U17" s="960">
        <v>0</v>
      </c>
      <c r="V17" s="958">
        <v>0</v>
      </c>
      <c r="W17" s="961">
        <v>0</v>
      </c>
      <c r="X17" s="960">
        <v>0</v>
      </c>
      <c r="Y17" s="959">
        <v>0</v>
      </c>
      <c r="Z17" s="958">
        <v>0</v>
      </c>
      <c r="AA17" s="961">
        <v>0</v>
      </c>
      <c r="AB17" s="960">
        <v>0</v>
      </c>
      <c r="AC17" s="959">
        <v>1</v>
      </c>
      <c r="AD17" s="959">
        <v>0</v>
      </c>
      <c r="AE17" s="959">
        <v>0</v>
      </c>
      <c r="AF17" s="958">
        <v>0</v>
      </c>
      <c r="AG17" s="958">
        <v>0</v>
      </c>
    </row>
    <row r="18" spans="6:33">
      <c r="F18" s="963"/>
      <c r="G18" s="962">
        <v>4</v>
      </c>
      <c r="H18" s="960">
        <v>0</v>
      </c>
      <c r="I18" s="959">
        <v>0</v>
      </c>
      <c r="J18" s="959">
        <v>0</v>
      </c>
      <c r="K18" s="958">
        <v>0</v>
      </c>
      <c r="L18" s="960">
        <v>0</v>
      </c>
      <c r="M18" s="959">
        <v>0</v>
      </c>
      <c r="N18" s="958">
        <v>0</v>
      </c>
      <c r="O18" s="960">
        <v>0</v>
      </c>
      <c r="P18" s="958">
        <v>1</v>
      </c>
      <c r="Q18" s="960">
        <v>0</v>
      </c>
      <c r="R18" s="960">
        <v>1</v>
      </c>
      <c r="S18" s="959">
        <v>0</v>
      </c>
      <c r="T18" s="958">
        <v>0</v>
      </c>
      <c r="U18" s="960">
        <v>0</v>
      </c>
      <c r="V18" s="958">
        <v>0</v>
      </c>
      <c r="W18" s="961">
        <v>0</v>
      </c>
      <c r="X18" s="960">
        <v>0</v>
      </c>
      <c r="Y18" s="959">
        <v>0</v>
      </c>
      <c r="Z18" s="958">
        <v>0</v>
      </c>
      <c r="AA18" s="961">
        <v>0</v>
      </c>
      <c r="AB18" s="960">
        <v>0</v>
      </c>
      <c r="AC18" s="959">
        <v>0</v>
      </c>
      <c r="AD18" s="959">
        <v>1</v>
      </c>
      <c r="AE18" s="959">
        <v>0</v>
      </c>
      <c r="AF18" s="958">
        <v>0</v>
      </c>
      <c r="AG18" s="958">
        <v>0</v>
      </c>
    </row>
    <row r="19" spans="6:33">
      <c r="F19" s="957"/>
      <c r="G19" s="956">
        <v>5</v>
      </c>
      <c r="H19" s="954">
        <v>1</v>
      </c>
      <c r="I19" s="953">
        <v>0</v>
      </c>
      <c r="J19" s="953">
        <v>0</v>
      </c>
      <c r="K19" s="952">
        <v>0</v>
      </c>
      <c r="L19" s="954">
        <v>0</v>
      </c>
      <c r="M19" s="953">
        <v>0</v>
      </c>
      <c r="N19" s="952">
        <v>0</v>
      </c>
      <c r="O19" s="954">
        <v>1</v>
      </c>
      <c r="P19" s="952">
        <v>0</v>
      </c>
      <c r="Q19" s="954">
        <v>0</v>
      </c>
      <c r="R19" s="954">
        <v>0</v>
      </c>
      <c r="S19" s="953">
        <v>0</v>
      </c>
      <c r="T19" s="952">
        <v>0</v>
      </c>
      <c r="U19" s="954">
        <v>0</v>
      </c>
      <c r="V19" s="952">
        <v>0</v>
      </c>
      <c r="W19" s="955">
        <v>0</v>
      </c>
      <c r="X19" s="954">
        <v>0</v>
      </c>
      <c r="Y19" s="953">
        <v>0</v>
      </c>
      <c r="Z19" s="952">
        <v>0</v>
      </c>
      <c r="AA19" s="955">
        <v>0</v>
      </c>
      <c r="AB19" s="954">
        <v>0</v>
      </c>
      <c r="AC19" s="953">
        <v>0</v>
      </c>
      <c r="AD19" s="953">
        <v>0</v>
      </c>
      <c r="AE19" s="953">
        <v>0</v>
      </c>
      <c r="AF19" s="952">
        <v>0</v>
      </c>
      <c r="AG19" s="952">
        <v>1</v>
      </c>
    </row>
  </sheetData>
  <mergeCells count="4">
    <mergeCell ref="B1:G1"/>
    <mergeCell ref="H1:AG1"/>
    <mergeCell ref="H12:AG12"/>
    <mergeCell ref="F14:F19"/>
  </mergeCells>
  <conditionalFormatting sqref="H14:AG19">
    <cfRule type="cellIs" dxfId="38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8566-D066-49A2-8C7B-5AD27B408225}">
  <dimension ref="A1:S19"/>
  <sheetViews>
    <sheetView zoomScaleNormal="100" workbookViewId="0">
      <selection activeCell="J19" sqref="J19"/>
    </sheetView>
  </sheetViews>
  <sheetFormatPr defaultColWidth="6.875" defaultRowHeight="15.75"/>
  <cols>
    <col min="1" max="1" width="4.875" style="1" customWidth="1"/>
    <col min="2" max="4" width="6.875" style="1"/>
    <col min="5" max="8" width="4.875" style="1" customWidth="1"/>
    <col min="9" max="10" width="6.875" style="1"/>
    <col min="11" max="11" width="6.875" style="1" customWidth="1"/>
    <col min="12" max="17" width="6.875" style="1"/>
    <col min="18" max="18" width="3.875" style="1" customWidth="1"/>
    <col min="19" max="16384" width="6.875" style="1"/>
  </cols>
  <sheetData>
    <row r="1" spans="1:19" ht="15.95" customHeight="1">
      <c r="A1" s="951" t="s">
        <v>10</v>
      </c>
      <c r="B1" s="504" t="s">
        <v>334</v>
      </c>
      <c r="C1" s="717" t="s">
        <v>333</v>
      </c>
      <c r="D1" s="950" t="s">
        <v>115</v>
      </c>
      <c r="E1" s="567" t="s">
        <v>14</v>
      </c>
      <c r="F1" s="826"/>
      <c r="G1" s="826"/>
      <c r="H1" s="825"/>
      <c r="I1" s="579" t="s">
        <v>219</v>
      </c>
      <c r="J1" s="579" t="s">
        <v>332</v>
      </c>
      <c r="K1" s="949" t="s">
        <v>331</v>
      </c>
      <c r="L1" s="782" t="s">
        <v>330</v>
      </c>
      <c r="M1" s="941"/>
      <c r="N1" s="941"/>
      <c r="O1" s="941"/>
      <c r="P1" s="940"/>
      <c r="Q1" s="908"/>
    </row>
    <row r="2" spans="1:19">
      <c r="A2" s="948"/>
      <c r="B2" s="502" t="s">
        <v>329</v>
      </c>
      <c r="C2" s="947" t="s">
        <v>19</v>
      </c>
      <c r="D2" s="946" t="s">
        <v>328</v>
      </c>
      <c r="E2" s="7">
        <v>0</v>
      </c>
      <c r="F2" s="945">
        <v>1</v>
      </c>
      <c r="G2" s="945">
        <v>2</v>
      </c>
      <c r="H2" s="944">
        <v>12</v>
      </c>
      <c r="I2" s="943"/>
      <c r="J2" s="943"/>
      <c r="K2" s="943"/>
      <c r="L2" s="2" t="s">
        <v>47</v>
      </c>
      <c r="M2" s="807" t="s">
        <v>30</v>
      </c>
      <c r="N2" s="807" t="s">
        <v>31</v>
      </c>
      <c r="O2" s="807" t="s">
        <v>32</v>
      </c>
      <c r="P2" s="807" t="s">
        <v>3</v>
      </c>
      <c r="Q2" s="796" t="s">
        <v>33</v>
      </c>
      <c r="S2" s="942"/>
    </row>
    <row r="3" spans="1:19">
      <c r="A3" s="39">
        <v>1</v>
      </c>
      <c r="B3" s="89">
        <v>1400</v>
      </c>
      <c r="C3" s="475">
        <v>1</v>
      </c>
      <c r="D3" s="936">
        <v>35</v>
      </c>
      <c r="E3" s="87">
        <v>1</v>
      </c>
      <c r="F3" s="40">
        <v>-1</v>
      </c>
      <c r="G3" s="40">
        <v>-1</v>
      </c>
      <c r="H3" s="80">
        <f>G3*F3</f>
        <v>1</v>
      </c>
      <c r="I3" s="468">
        <f>LN(D3)</f>
        <v>3.5553480614894135</v>
      </c>
      <c r="J3" s="468">
        <f t="array" ref="J3:J10">MMULT(X,a)</f>
        <v>3.4160983282561803</v>
      </c>
      <c r="K3" s="467">
        <f>I3</f>
        <v>3.5553480614894135</v>
      </c>
      <c r="L3" s="472" t="s">
        <v>5</v>
      </c>
      <c r="M3" s="88">
        <f>SUMSQ(y_hat)-n*AVERAGE(y)^2</f>
        <v>1.3930863123568713</v>
      </c>
      <c r="N3" s="88">
        <f>m-1</f>
        <v>3</v>
      </c>
      <c r="O3" s="938">
        <f>M3/N3</f>
        <v>0.46436210411895712</v>
      </c>
      <c r="P3" s="88">
        <f>O3/O4</f>
        <v>10.548312650299749</v>
      </c>
      <c r="Q3" s="80">
        <f>FDIST(P3,N3,N4)</f>
        <v>2.2708921059033101E-2</v>
      </c>
      <c r="R3" s="1" t="str">
        <f>IF(Q3&lt;=0.05,"*","")</f>
        <v>*</v>
      </c>
    </row>
    <row r="4" spans="1:19">
      <c r="A4" s="448">
        <v>2</v>
      </c>
      <c r="B4" s="89">
        <v>1400</v>
      </c>
      <c r="C4" s="475">
        <v>5</v>
      </c>
      <c r="D4" s="936">
        <v>82</v>
      </c>
      <c r="E4" s="89">
        <v>1</v>
      </c>
      <c r="F4" s="94">
        <v>-1</v>
      </c>
      <c r="G4" s="94">
        <v>1</v>
      </c>
      <c r="H4" s="90">
        <f>G4*F4</f>
        <v>-1</v>
      </c>
      <c r="I4" s="468">
        <f>LN(D4)</f>
        <v>4.4067192472642533</v>
      </c>
      <c r="J4" s="468">
        <v>4.2674695140310197</v>
      </c>
      <c r="K4" s="468">
        <f>I4</f>
        <v>4.4067192472642533</v>
      </c>
      <c r="L4" s="511" t="s">
        <v>6</v>
      </c>
      <c r="M4" s="1">
        <f>SUMSQ(y)-SUMSQ(y_hat)</f>
        <v>0.17608962476316492</v>
      </c>
      <c r="N4" s="1">
        <f>n-m</f>
        <v>4</v>
      </c>
      <c r="O4" s="933">
        <f>M4/N4</f>
        <v>4.402240619079123E-2</v>
      </c>
      <c r="P4" s="130" t="s">
        <v>262</v>
      </c>
      <c r="Q4" s="80">
        <f>SQRT(O4)</f>
        <v>0.20981517149813364</v>
      </c>
    </row>
    <row r="5" spans="1:19" ht="18.75">
      <c r="A5" s="448">
        <v>3</v>
      </c>
      <c r="B5" s="89">
        <v>2200</v>
      </c>
      <c r="C5" s="475">
        <v>1</v>
      </c>
      <c r="D5" s="936">
        <v>102</v>
      </c>
      <c r="E5" s="89">
        <v>1</v>
      </c>
      <c r="F5" s="94">
        <v>1</v>
      </c>
      <c r="G5" s="94">
        <v>-1</v>
      </c>
      <c r="H5" s="90">
        <f>G5*F5</f>
        <v>-1</v>
      </c>
      <c r="I5" s="468">
        <f>LN(D5)</f>
        <v>4.6249728132842707</v>
      </c>
      <c r="J5" s="468">
        <v>4.485723080051037</v>
      </c>
      <c r="K5" s="468">
        <f>I5</f>
        <v>4.6249728132842707</v>
      </c>
      <c r="L5" s="859" t="s">
        <v>7</v>
      </c>
      <c r="M5" s="76">
        <f>SUMSQ(y)-n*AVERAGE(y)^2</f>
        <v>1.5691759371200362</v>
      </c>
      <c r="N5" s="76">
        <f>n-1</f>
        <v>7</v>
      </c>
      <c r="O5" s="76"/>
      <c r="P5" s="67" t="s">
        <v>323</v>
      </c>
      <c r="Q5" s="77">
        <f>M3/M5</f>
        <v>0.88778210231393917</v>
      </c>
    </row>
    <row r="6" spans="1:19">
      <c r="A6" s="95">
        <v>4</v>
      </c>
      <c r="B6" s="89">
        <v>2200</v>
      </c>
      <c r="C6" s="475">
        <v>5</v>
      </c>
      <c r="D6" s="936">
        <v>181</v>
      </c>
      <c r="E6" s="75">
        <v>1</v>
      </c>
      <c r="F6" s="96">
        <v>1</v>
      </c>
      <c r="G6" s="96">
        <v>1</v>
      </c>
      <c r="H6" s="77">
        <f>G6*F6</f>
        <v>1</v>
      </c>
      <c r="I6" s="468">
        <f>LN(D6)</f>
        <v>5.1984970312658261</v>
      </c>
      <c r="J6" s="468">
        <v>5.0592472980325924</v>
      </c>
      <c r="K6" s="468">
        <f>I6</f>
        <v>5.1984970312658261</v>
      </c>
      <c r="L6" s="941" t="s">
        <v>327</v>
      </c>
      <c r="M6" s="941"/>
      <c r="N6" s="941"/>
      <c r="O6" s="941"/>
      <c r="P6" s="940"/>
      <c r="Q6" s="908"/>
    </row>
    <row r="7" spans="1:19">
      <c r="A7" s="39">
        <v>5</v>
      </c>
      <c r="B7" s="87">
        <f>AVERAGE(B3:B6)</f>
        <v>1800</v>
      </c>
      <c r="C7" s="41">
        <f>AVERAGE(C3:C6)</f>
        <v>3</v>
      </c>
      <c r="D7" s="939">
        <v>66</v>
      </c>
      <c r="E7" s="87">
        <v>1</v>
      </c>
      <c r="F7" s="40">
        <v>0</v>
      </c>
      <c r="G7" s="40">
        <v>0</v>
      </c>
      <c r="H7" s="80">
        <f>G7*F7</f>
        <v>0</v>
      </c>
      <c r="I7" s="467">
        <f>LN(D7)</f>
        <v>4.1896547420264252</v>
      </c>
      <c r="J7" s="467">
        <v>4.3071345550927074</v>
      </c>
      <c r="K7" s="467">
        <f>AVERAGE(I7:I10)</f>
        <v>4.1678848218594728</v>
      </c>
      <c r="L7" s="807" t="s">
        <v>47</v>
      </c>
      <c r="M7" s="807" t="s">
        <v>30</v>
      </c>
      <c r="N7" s="807" t="s">
        <v>31</v>
      </c>
      <c r="O7" s="807" t="s">
        <v>32</v>
      </c>
      <c r="P7" s="807" t="s">
        <v>3</v>
      </c>
      <c r="Q7" s="796" t="s">
        <v>33</v>
      </c>
    </row>
    <row r="8" spans="1:19">
      <c r="A8" s="448">
        <v>6</v>
      </c>
      <c r="B8" s="89">
        <v>1800</v>
      </c>
      <c r="C8" s="475">
        <v>3</v>
      </c>
      <c r="D8" s="936">
        <v>72</v>
      </c>
      <c r="E8" s="89">
        <v>1</v>
      </c>
      <c r="F8" s="94">
        <v>0</v>
      </c>
      <c r="G8" s="94">
        <v>0</v>
      </c>
      <c r="H8" s="90">
        <f>G8*F8</f>
        <v>0</v>
      </c>
      <c r="I8" s="468">
        <f>LN(D8)</f>
        <v>4.2766661190160553</v>
      </c>
      <c r="J8" s="468">
        <v>4.3071345550927074</v>
      </c>
      <c r="K8" s="468">
        <f>K7</f>
        <v>4.1678848218594728</v>
      </c>
      <c r="L8" s="472">
        <v>1</v>
      </c>
      <c r="M8" s="88">
        <f>I13*J13</f>
        <v>0.86620485006734449</v>
      </c>
      <c r="N8" s="88">
        <v>1</v>
      </c>
      <c r="O8" s="938">
        <f>M8/N8</f>
        <v>0.86620485006734449</v>
      </c>
      <c r="P8" s="937">
        <f>O8/O$13</f>
        <v>123.94588210649454</v>
      </c>
      <c r="Q8" s="80">
        <f>FDIST(P8,N8,N$13)</f>
        <v>1.5529241820982191E-3</v>
      </c>
      <c r="R8" s="1" t="str">
        <f>IF(Q8&lt;=0.05,"*","")</f>
        <v>*</v>
      </c>
    </row>
    <row r="9" spans="1:19">
      <c r="A9" s="448">
        <v>7</v>
      </c>
      <c r="B9" s="89">
        <v>1800</v>
      </c>
      <c r="C9" s="475">
        <v>3</v>
      </c>
      <c r="D9" s="936">
        <v>61</v>
      </c>
      <c r="E9" s="89">
        <v>1</v>
      </c>
      <c r="F9" s="94">
        <v>0</v>
      </c>
      <c r="G9" s="94">
        <v>0</v>
      </c>
      <c r="H9" s="90">
        <f>G9*F9</f>
        <v>0</v>
      </c>
      <c r="I9" s="468">
        <f>LN(D9)</f>
        <v>4.1108738641733114</v>
      </c>
      <c r="J9" s="468">
        <v>4.3071345550927074</v>
      </c>
      <c r="K9" s="468">
        <f>K8</f>
        <v>4.1678848218594728</v>
      </c>
      <c r="L9" s="511">
        <v>2</v>
      </c>
      <c r="M9" s="1">
        <f>I14*J14</f>
        <v>0.50758172791152512</v>
      </c>
      <c r="N9" s="1">
        <v>1</v>
      </c>
      <c r="O9" s="933">
        <f>M9/N9</f>
        <v>0.50758172791152512</v>
      </c>
      <c r="P9" s="102">
        <f>O9/O$13</f>
        <v>72.630238681117319</v>
      </c>
      <c r="Q9" s="90">
        <f>FDIST(P9,N9,N$13)</f>
        <v>3.3937240396791106E-3</v>
      </c>
      <c r="R9" s="1" t="str">
        <f>IF(Q9&lt;=0.05,"*","")</f>
        <v>*</v>
      </c>
    </row>
    <row r="10" spans="1:19">
      <c r="A10" s="95">
        <v>8</v>
      </c>
      <c r="B10" s="75">
        <v>1800</v>
      </c>
      <c r="C10" s="97">
        <v>3</v>
      </c>
      <c r="D10" s="935">
        <v>60</v>
      </c>
      <c r="E10" s="75">
        <v>1</v>
      </c>
      <c r="F10" s="96">
        <v>0</v>
      </c>
      <c r="G10" s="96">
        <v>0</v>
      </c>
      <c r="H10" s="77">
        <f>G10*F10</f>
        <v>0</v>
      </c>
      <c r="I10" s="466">
        <f>LN(D10)</f>
        <v>4.0943445622221004</v>
      </c>
      <c r="J10" s="466">
        <v>4.3071345550927074</v>
      </c>
      <c r="K10" s="466">
        <f>K9</f>
        <v>4.1678848218594728</v>
      </c>
      <c r="L10" s="511">
        <v>12</v>
      </c>
      <c r="M10" s="1">
        <f>I15*J15</f>
        <v>1.929973437798067E-2</v>
      </c>
      <c r="N10" s="1">
        <v>1</v>
      </c>
      <c r="O10" s="933">
        <f>M10/N10</f>
        <v>1.929973437798067E-2</v>
      </c>
      <c r="P10" s="102">
        <f>O10/O$13</f>
        <v>2.7616130315061991</v>
      </c>
      <c r="Q10" s="90">
        <f>FDIST(P10,N10,N$13)</f>
        <v>0.19513653163799083</v>
      </c>
      <c r="R10" s="1" t="str">
        <f>IF(Q10&lt;=0.05,"*","")</f>
        <v/>
      </c>
    </row>
    <row r="11" spans="1:19" ht="18.75">
      <c r="A11" s="567" t="s">
        <v>269</v>
      </c>
      <c r="B11" s="826"/>
      <c r="C11" s="826"/>
      <c r="D11" s="825"/>
      <c r="E11" s="567" t="s">
        <v>326</v>
      </c>
      <c r="F11" s="826"/>
      <c r="G11" s="826"/>
      <c r="H11" s="825"/>
      <c r="I11" s="524" t="s">
        <v>34</v>
      </c>
      <c r="J11" s="7" t="s">
        <v>39</v>
      </c>
      <c r="K11" s="524" t="s">
        <v>325</v>
      </c>
      <c r="L11" s="7" t="s">
        <v>5</v>
      </c>
      <c r="M11" s="11">
        <f>SUM(M8:M10)</f>
        <v>1.3930863123568502</v>
      </c>
      <c r="N11" s="11">
        <f>SUM(N8:N10)</f>
        <v>3</v>
      </c>
      <c r="O11" s="932">
        <f>M11/N11</f>
        <v>0.46436210411895007</v>
      </c>
      <c r="P11" s="934">
        <f>O11/O$13</f>
        <v>66.445911273039343</v>
      </c>
      <c r="Q11" s="12">
        <f>FDIST(P11,N11,N$13)</f>
        <v>3.0512247116955466E-3</v>
      </c>
      <c r="R11" s="1" t="str">
        <f>IF(Q11&lt;=0.05,"*","")</f>
        <v>*</v>
      </c>
    </row>
    <row r="12" spans="1:19">
      <c r="A12" s="81">
        <f t="array" ref="A12:D15">MMULT(TRANSPOSE(X),X)</f>
        <v>8</v>
      </c>
      <c r="B12" s="88">
        <v>0</v>
      </c>
      <c r="C12" s="88">
        <v>0</v>
      </c>
      <c r="D12" s="80">
        <v>0</v>
      </c>
      <c r="E12" s="81">
        <f t="array" ref="E12:H15">MINVERSE(MMULT(TRANSPOSE(X),X))</f>
        <v>0.125</v>
      </c>
      <c r="F12" s="88">
        <v>0</v>
      </c>
      <c r="G12" s="88">
        <v>0</v>
      </c>
      <c r="H12" s="80">
        <v>0</v>
      </c>
      <c r="I12" s="118">
        <f t="array" ref="I12:I15">MMULT(TRANSPOSE(X),y)</f>
        <v>34.457076440741659</v>
      </c>
      <c r="J12" s="118">
        <f t="array" ref="J12:J15">MMULT(XTX_Inv,XTy)</f>
        <v>4.3071345550927074</v>
      </c>
      <c r="K12" s="96">
        <f>COUNT(A3:A10)</f>
        <v>8</v>
      </c>
      <c r="L12" s="491" t="s">
        <v>1</v>
      </c>
      <c r="M12" s="933">
        <f>SUMSQ(K3:K10)-SUMSQ(y_hat)</f>
        <v>0.15512390564416023</v>
      </c>
      <c r="N12" s="1">
        <f>u-m</f>
        <v>1</v>
      </c>
      <c r="O12" s="933">
        <f>M12/N12</f>
        <v>0.15512390564416023</v>
      </c>
      <c r="P12" s="102">
        <f>O12/O$13</f>
        <v>22.196792501652737</v>
      </c>
      <c r="Q12" s="90">
        <f>FDIST(P12,N12,N$13)</f>
        <v>1.8102120516190465E-2</v>
      </c>
      <c r="R12" s="1" t="str">
        <f>IF(Q12&lt;=0.05,"*","")</f>
        <v>*</v>
      </c>
    </row>
    <row r="13" spans="1:19">
      <c r="A13" s="455">
        <v>0</v>
      </c>
      <c r="B13" s="1">
        <v>4</v>
      </c>
      <c r="C13" s="1">
        <v>0</v>
      </c>
      <c r="D13" s="90">
        <v>0</v>
      </c>
      <c r="E13" s="455">
        <v>0</v>
      </c>
      <c r="F13" s="1">
        <v>0.25</v>
      </c>
      <c r="G13" s="1">
        <v>0</v>
      </c>
      <c r="H13" s="90">
        <v>0</v>
      </c>
      <c r="I13" s="450">
        <v>1.8614025357964294</v>
      </c>
      <c r="J13" s="450">
        <v>0.46535063394910736</v>
      </c>
      <c r="K13" s="524" t="s">
        <v>324</v>
      </c>
      <c r="L13" s="491" t="s">
        <v>255</v>
      </c>
      <c r="M13" s="933">
        <f>SUMSQ(y)-SUMSQ(y_r)</f>
        <v>2.0965719119004689E-2</v>
      </c>
      <c r="N13" s="1">
        <f>n-u</f>
        <v>3</v>
      </c>
      <c r="O13" s="933">
        <f>M13/N13</f>
        <v>6.9885730396682293E-3</v>
      </c>
      <c r="P13" s="130" t="s">
        <v>262</v>
      </c>
      <c r="Q13" s="80">
        <f>SQRT(O13)</f>
        <v>8.35976856119129E-2</v>
      </c>
    </row>
    <row r="14" spans="1:19" ht="18.75">
      <c r="A14" s="455">
        <v>0</v>
      </c>
      <c r="B14" s="1">
        <v>0</v>
      </c>
      <c r="C14" s="1">
        <v>4</v>
      </c>
      <c r="D14" s="90">
        <v>0</v>
      </c>
      <c r="E14" s="455">
        <v>0</v>
      </c>
      <c r="F14" s="1">
        <v>0</v>
      </c>
      <c r="G14" s="1">
        <v>0.25</v>
      </c>
      <c r="H14" s="90">
        <v>0</v>
      </c>
      <c r="I14" s="450">
        <v>1.4248954037563952</v>
      </c>
      <c r="J14" s="450">
        <v>0.35622385093909881</v>
      </c>
      <c r="K14" s="75">
        <f>COUNT(E3:H3)</f>
        <v>4</v>
      </c>
      <c r="L14" s="7" t="s">
        <v>6</v>
      </c>
      <c r="M14" s="11">
        <f>SUM(M12:M13)</f>
        <v>0.17608962476316492</v>
      </c>
      <c r="N14" s="11">
        <f>SUM(N12:N13)</f>
        <v>4</v>
      </c>
      <c r="O14" s="932">
        <f>M14/N14</f>
        <v>4.402240619079123E-2</v>
      </c>
      <c r="P14" s="67" t="s">
        <v>323</v>
      </c>
      <c r="Q14" s="77">
        <f>M11/M15</f>
        <v>0.88778210231393762</v>
      </c>
    </row>
    <row r="15" spans="1:19">
      <c r="A15" s="106">
        <v>0</v>
      </c>
      <c r="B15" s="76">
        <v>0</v>
      </c>
      <c r="C15" s="76">
        <v>0</v>
      </c>
      <c r="D15" s="77">
        <v>4</v>
      </c>
      <c r="E15" s="106">
        <v>0</v>
      </c>
      <c r="F15" s="76">
        <v>0</v>
      </c>
      <c r="G15" s="76">
        <v>0</v>
      </c>
      <c r="H15" s="77">
        <v>0.25</v>
      </c>
      <c r="I15" s="92">
        <v>-0.27784696779328488</v>
      </c>
      <c r="J15" s="92">
        <v>-6.9461741948321221E-2</v>
      </c>
      <c r="K15" s="524" t="s">
        <v>92</v>
      </c>
      <c r="L15" s="2" t="s">
        <v>7</v>
      </c>
      <c r="M15" s="457">
        <f>M11+M14</f>
        <v>1.5691759371200151</v>
      </c>
      <c r="N15" s="93">
        <f>N11+N14</f>
        <v>7</v>
      </c>
    </row>
    <row r="16" spans="1:19">
      <c r="K16" s="95">
        <f>COUNT(E3:E7)</f>
        <v>5</v>
      </c>
    </row>
    <row r="18" spans="13:13">
      <c r="M18" s="771"/>
    </row>
    <row r="19" spans="13:13">
      <c r="M19" s="771"/>
    </row>
  </sheetData>
  <mergeCells count="9">
    <mergeCell ref="A11:D11"/>
    <mergeCell ref="E11:H11"/>
    <mergeCell ref="J1:J2"/>
    <mergeCell ref="K1:K2"/>
    <mergeCell ref="L1:Q1"/>
    <mergeCell ref="L6:Q6"/>
    <mergeCell ref="A1:A2"/>
    <mergeCell ref="E1:H1"/>
    <mergeCell ref="I1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DB2F-67D5-4704-8CDB-43185B72448B}">
  <dimension ref="A1:X38"/>
  <sheetViews>
    <sheetView zoomScaleNormal="100" workbookViewId="0">
      <selection activeCell="E9" sqref="E9"/>
    </sheetView>
  </sheetViews>
  <sheetFormatPr defaultColWidth="6" defaultRowHeight="15.75"/>
  <cols>
    <col min="1" max="1" width="3.375" style="1005" customWidth="1"/>
    <col min="2" max="4" width="6" style="1004"/>
    <col min="5" max="5" width="6" style="1004" customWidth="1"/>
    <col min="6" max="7" width="6" style="1004"/>
    <col min="8" max="15" width="6" style="1005"/>
    <col min="16" max="16" width="6" style="1004"/>
    <col min="17" max="24" width="6" style="1004" customWidth="1"/>
    <col min="25" max="16384" width="6" style="1004"/>
  </cols>
  <sheetData>
    <row r="1" spans="1:24" ht="18.75">
      <c r="A1" s="1034" t="s">
        <v>84</v>
      </c>
      <c r="B1" s="1067"/>
      <c r="C1" s="1067"/>
      <c r="D1" s="1067"/>
      <c r="E1" s="1068"/>
      <c r="F1" s="1064"/>
      <c r="G1" s="1064" t="s">
        <v>83</v>
      </c>
      <c r="H1" s="1034" t="s">
        <v>14</v>
      </c>
      <c r="I1" s="624"/>
      <c r="J1" s="624"/>
      <c r="K1" s="624"/>
      <c r="L1" s="624"/>
      <c r="M1" s="624"/>
      <c r="N1" s="624"/>
      <c r="O1" s="625"/>
      <c r="P1" s="1034" t="s">
        <v>35</v>
      </c>
      <c r="Q1" s="1067"/>
      <c r="R1" s="1067"/>
      <c r="S1" s="1067"/>
      <c r="T1" s="1067"/>
      <c r="U1" s="1067"/>
      <c r="V1" s="1067"/>
      <c r="W1" s="1067"/>
      <c r="X1" s="1066"/>
    </row>
    <row r="2" spans="1:24">
      <c r="A2" s="1040" t="s">
        <v>10</v>
      </c>
      <c r="B2" s="1043" t="s">
        <v>68</v>
      </c>
      <c r="C2" s="1064" t="s">
        <v>66</v>
      </c>
      <c r="D2" s="1063" t="s">
        <v>76</v>
      </c>
      <c r="E2" s="1031" t="s">
        <v>254</v>
      </c>
      <c r="F2" s="1043" t="s">
        <v>377</v>
      </c>
      <c r="G2" s="1043" t="s">
        <v>254</v>
      </c>
      <c r="H2" s="1043" t="s">
        <v>0</v>
      </c>
      <c r="I2" s="1064" t="s">
        <v>1</v>
      </c>
      <c r="J2" s="1063" t="s">
        <v>2</v>
      </c>
      <c r="K2" s="1043" t="s">
        <v>68</v>
      </c>
      <c r="L2" s="1063" t="s">
        <v>66</v>
      </c>
      <c r="M2" s="1064">
        <v>12</v>
      </c>
      <c r="N2" s="1064">
        <v>11</v>
      </c>
      <c r="O2" s="1063">
        <v>22</v>
      </c>
      <c r="P2" s="1065"/>
      <c r="Q2" s="1043" t="s">
        <v>0</v>
      </c>
      <c r="R2" s="1064" t="s">
        <v>1</v>
      </c>
      <c r="S2" s="1063" t="s">
        <v>2</v>
      </c>
      <c r="T2" s="1064" t="s">
        <v>68</v>
      </c>
      <c r="U2" s="1063" t="s">
        <v>66</v>
      </c>
      <c r="V2" s="1031">
        <v>12</v>
      </c>
      <c r="W2" s="1064">
        <v>11</v>
      </c>
      <c r="X2" s="1063">
        <v>22</v>
      </c>
    </row>
    <row r="3" spans="1:24">
      <c r="A3" s="1027">
        <v>1</v>
      </c>
      <c r="B3" s="1004">
        <v>3</v>
      </c>
      <c r="C3" s="1004">
        <v>6</v>
      </c>
      <c r="D3" s="1013" t="s">
        <v>0</v>
      </c>
      <c r="E3" s="1015">
        <v>3.7</v>
      </c>
      <c r="F3" s="1015">
        <f>E3</f>
        <v>3.7</v>
      </c>
      <c r="G3" s="1015">
        <f t="array" ref="G3:G38">MMULT(X,Q23:Q30)</f>
        <v>3.6527512476869881</v>
      </c>
      <c r="H3" s="1023">
        <v>1</v>
      </c>
      <c r="I3" s="1021">
        <v>0</v>
      </c>
      <c r="J3" s="1022">
        <v>0</v>
      </c>
      <c r="K3" s="1023">
        <f>(B3-2)</f>
        <v>1</v>
      </c>
      <c r="L3" s="1022">
        <f>(C3-7)</f>
        <v>-1</v>
      </c>
      <c r="M3" s="1021">
        <f>K3*L3</f>
        <v>-1</v>
      </c>
      <c r="N3" s="1021">
        <f>K3^2-0.66</f>
        <v>0.33999999999999997</v>
      </c>
      <c r="O3" s="1022">
        <f>L3^2-0.66</f>
        <v>0.33999999999999997</v>
      </c>
      <c r="P3" s="1040" t="s">
        <v>0</v>
      </c>
      <c r="Q3" s="1058">
        <f t="array" ref="Q3:X10">MMULT(TRANSPOSE(X),X)</f>
        <v>12</v>
      </c>
      <c r="R3" s="1026">
        <v>0</v>
      </c>
      <c r="S3" s="1020">
        <v>0</v>
      </c>
      <c r="T3" s="1026">
        <v>0</v>
      </c>
      <c r="U3" s="1020">
        <v>0</v>
      </c>
      <c r="V3" s="1026">
        <v>0</v>
      </c>
      <c r="W3" s="1058">
        <v>-1.1102230246251565E-15</v>
      </c>
      <c r="X3" s="1020">
        <v>1.9984014443252818E-15</v>
      </c>
    </row>
    <row r="4" spans="1:24">
      <c r="A4" s="1017">
        <v>2</v>
      </c>
      <c r="B4" s="1004">
        <v>3</v>
      </c>
      <c r="C4" s="1004">
        <v>8</v>
      </c>
      <c r="D4" s="1013" t="s">
        <v>0</v>
      </c>
      <c r="E4" s="1015">
        <v>4.7</v>
      </c>
      <c r="F4" s="1015">
        <f>E4</f>
        <v>4.7</v>
      </c>
      <c r="G4" s="1015">
        <v>4.8635256584613993</v>
      </c>
      <c r="H4" s="1014">
        <v>1</v>
      </c>
      <c r="I4" s="1005">
        <v>0</v>
      </c>
      <c r="J4" s="1013">
        <v>0</v>
      </c>
      <c r="K4" s="1014">
        <f>(B4-2)</f>
        <v>1</v>
      </c>
      <c r="L4" s="1013">
        <f>(C4-7)</f>
        <v>1</v>
      </c>
      <c r="M4" s="1005">
        <f>K4*L4</f>
        <v>1</v>
      </c>
      <c r="N4" s="1005">
        <f>K4^2-0.66</f>
        <v>0.33999999999999997</v>
      </c>
      <c r="O4" s="1013">
        <f>L4^2-0.66</f>
        <v>0.33999999999999997</v>
      </c>
      <c r="P4" s="1052" t="s">
        <v>1</v>
      </c>
      <c r="Q4" s="1062">
        <v>0</v>
      </c>
      <c r="R4" s="1004">
        <v>12</v>
      </c>
      <c r="S4" s="1051">
        <v>0</v>
      </c>
      <c r="T4" s="1004">
        <v>0</v>
      </c>
      <c r="U4" s="1051">
        <v>0</v>
      </c>
      <c r="V4" s="1004">
        <v>0</v>
      </c>
      <c r="W4" s="1062">
        <v>-1.1102230246251565E-15</v>
      </c>
      <c r="X4" s="1051">
        <v>1.9984014443252818E-15</v>
      </c>
    </row>
    <row r="5" spans="1:24">
      <c r="A5" s="1017">
        <v>3</v>
      </c>
      <c r="B5" s="1004">
        <v>1</v>
      </c>
      <c r="C5" s="1004">
        <v>6</v>
      </c>
      <c r="D5" s="1013" t="s">
        <v>0</v>
      </c>
      <c r="E5" s="1015">
        <v>2.2999999999999998</v>
      </c>
      <c r="F5" s="1015">
        <f>E5</f>
        <v>2.2999999999999998</v>
      </c>
      <c r="G5" s="1015">
        <v>2.1598219547576951</v>
      </c>
      <c r="H5" s="1014">
        <v>1</v>
      </c>
      <c r="I5" s="1005">
        <v>0</v>
      </c>
      <c r="J5" s="1013">
        <v>0</v>
      </c>
      <c r="K5" s="1014">
        <f>(B5-2)</f>
        <v>-1</v>
      </c>
      <c r="L5" s="1013">
        <f>(C5-7)</f>
        <v>-1</v>
      </c>
      <c r="M5" s="1005">
        <f>K5*L5</f>
        <v>1</v>
      </c>
      <c r="N5" s="1005">
        <f>K5^2-0.66</f>
        <v>0.33999999999999997</v>
      </c>
      <c r="O5" s="1013">
        <f>L5^2-0.66</f>
        <v>0.33999999999999997</v>
      </c>
      <c r="P5" s="1037" t="s">
        <v>2</v>
      </c>
      <c r="Q5" s="1057">
        <v>0</v>
      </c>
      <c r="R5" s="1011">
        <v>0</v>
      </c>
      <c r="S5" s="1018">
        <v>12</v>
      </c>
      <c r="T5" s="1011">
        <v>0</v>
      </c>
      <c r="U5" s="1018">
        <v>0</v>
      </c>
      <c r="V5" s="1011">
        <v>0</v>
      </c>
      <c r="W5" s="1057">
        <v>-1.1102230246251565E-15</v>
      </c>
      <c r="X5" s="1018">
        <v>1.9984014443252818E-15</v>
      </c>
    </row>
    <row r="6" spans="1:24">
      <c r="A6" s="1012">
        <v>4</v>
      </c>
      <c r="B6" s="1011">
        <v>1</v>
      </c>
      <c r="C6" s="1011">
        <v>8</v>
      </c>
      <c r="D6" s="1006" t="s">
        <v>0</v>
      </c>
      <c r="E6" s="1009">
        <v>2.1</v>
      </c>
      <c r="F6" s="1009">
        <f>E6</f>
        <v>2.1</v>
      </c>
      <c r="G6" s="1009">
        <v>2.1039296988654397</v>
      </c>
      <c r="H6" s="1008">
        <v>1</v>
      </c>
      <c r="I6" s="1007">
        <v>0</v>
      </c>
      <c r="J6" s="1006">
        <v>0</v>
      </c>
      <c r="K6" s="1008">
        <f>(B6-2)</f>
        <v>-1</v>
      </c>
      <c r="L6" s="1006">
        <f>(C6-7)</f>
        <v>1</v>
      </c>
      <c r="M6" s="1007">
        <f>K6*L6</f>
        <v>-1</v>
      </c>
      <c r="N6" s="1007">
        <f>K6^2-0.66</f>
        <v>0.33999999999999997</v>
      </c>
      <c r="O6" s="1006">
        <f>L6^2-0.66</f>
        <v>0.33999999999999997</v>
      </c>
      <c r="P6" s="1046" t="s">
        <v>68</v>
      </c>
      <c r="Q6" s="1062">
        <v>0</v>
      </c>
      <c r="R6" s="1004">
        <v>0</v>
      </c>
      <c r="S6" s="1051">
        <v>0</v>
      </c>
      <c r="T6" s="1004">
        <v>23.759999999999998</v>
      </c>
      <c r="U6" s="1051">
        <v>0</v>
      </c>
      <c r="V6" s="1004">
        <v>0</v>
      </c>
      <c r="W6" s="1062">
        <v>0</v>
      </c>
      <c r="X6" s="1020">
        <v>0</v>
      </c>
    </row>
    <row r="7" spans="1:24">
      <c r="A7" s="1027">
        <v>5</v>
      </c>
      <c r="B7" s="1026">
        <v>0.6</v>
      </c>
      <c r="C7" s="1026">
        <v>7</v>
      </c>
      <c r="D7" s="1022" t="s">
        <v>0</v>
      </c>
      <c r="E7" s="1024">
        <v>1.5</v>
      </c>
      <c r="F7" s="1024">
        <f>E7</f>
        <v>1.5</v>
      </c>
      <c r="G7" s="1024">
        <v>1.7044660188173042</v>
      </c>
      <c r="H7" s="1023">
        <v>1</v>
      </c>
      <c r="I7" s="1021">
        <v>0</v>
      </c>
      <c r="J7" s="1022">
        <v>0</v>
      </c>
      <c r="K7" s="1023">
        <f>(B7-2)</f>
        <v>-1.4</v>
      </c>
      <c r="L7" s="1022">
        <f>(C7-7)</f>
        <v>0</v>
      </c>
      <c r="M7" s="1021">
        <f>K7*L7</f>
        <v>0</v>
      </c>
      <c r="N7" s="1021">
        <f>K7^2-0.66</f>
        <v>1.2999999999999998</v>
      </c>
      <c r="O7" s="1022">
        <f>L7^2-0.66</f>
        <v>-0.66</v>
      </c>
      <c r="P7" s="1046" t="s">
        <v>66</v>
      </c>
      <c r="Q7" s="1057">
        <v>0</v>
      </c>
      <c r="R7" s="1004">
        <v>0</v>
      </c>
      <c r="S7" s="1051">
        <v>0</v>
      </c>
      <c r="T7" s="1004">
        <v>0</v>
      </c>
      <c r="U7" s="1004">
        <v>23.760000000000005</v>
      </c>
      <c r="V7" s="1035">
        <v>0</v>
      </c>
      <c r="W7" s="1004">
        <v>0</v>
      </c>
      <c r="X7" s="1018">
        <v>0</v>
      </c>
    </row>
    <row r="8" spans="1:24">
      <c r="A8" s="1017">
        <v>6</v>
      </c>
      <c r="B8" s="1004">
        <v>3.4</v>
      </c>
      <c r="C8" s="1004">
        <v>7</v>
      </c>
      <c r="D8" s="1013" t="s">
        <v>0</v>
      </c>
      <c r="E8" s="1015">
        <v>4.4000000000000004</v>
      </c>
      <c r="F8" s="1015">
        <f>E8</f>
        <v>4.4000000000000004</v>
      </c>
      <c r="G8" s="1015">
        <v>4.6812336955849814</v>
      </c>
      <c r="H8" s="1014">
        <v>1</v>
      </c>
      <c r="I8" s="1005">
        <v>0</v>
      </c>
      <c r="J8" s="1013">
        <v>0</v>
      </c>
      <c r="K8" s="1014">
        <f>(B8-2)</f>
        <v>1.4</v>
      </c>
      <c r="L8" s="1013">
        <f>(C8-7)</f>
        <v>0</v>
      </c>
      <c r="M8" s="1005">
        <f>K8*L8</f>
        <v>0</v>
      </c>
      <c r="N8" s="1005">
        <f>K8^2-0.66</f>
        <v>1.2999999999999998</v>
      </c>
      <c r="O8" s="1013">
        <f>L8^2-0.66</f>
        <v>-0.66</v>
      </c>
      <c r="P8" s="1043">
        <v>12</v>
      </c>
      <c r="Q8" s="1060">
        <v>0</v>
      </c>
      <c r="R8" s="1061">
        <v>0</v>
      </c>
      <c r="S8" s="1059">
        <v>0</v>
      </c>
      <c r="T8" s="1061">
        <v>0</v>
      </c>
      <c r="U8" s="1059">
        <v>0</v>
      </c>
      <c r="V8" s="1061">
        <v>12</v>
      </c>
      <c r="W8" s="1060">
        <v>0</v>
      </c>
      <c r="X8" s="1059">
        <v>0</v>
      </c>
    </row>
    <row r="9" spans="1:24">
      <c r="A9" s="1017">
        <v>7</v>
      </c>
      <c r="B9" s="1004">
        <v>2</v>
      </c>
      <c r="C9" s="1004">
        <v>5.6</v>
      </c>
      <c r="D9" s="1013" t="s">
        <v>0</v>
      </c>
      <c r="E9" s="1015">
        <v>3.1</v>
      </c>
      <c r="F9" s="1015">
        <f>E9</f>
        <v>3.1</v>
      </c>
      <c r="G9" s="1015">
        <v>2.7886411029923881</v>
      </c>
      <c r="H9" s="1014">
        <v>1</v>
      </c>
      <c r="I9" s="1005">
        <v>0</v>
      </c>
      <c r="J9" s="1013">
        <v>0</v>
      </c>
      <c r="K9" s="1014">
        <f>(B9-2)</f>
        <v>0</v>
      </c>
      <c r="L9" s="1013">
        <f>(C9-7)</f>
        <v>-1.4000000000000004</v>
      </c>
      <c r="M9" s="1005">
        <f>K9*L9</f>
        <v>0</v>
      </c>
      <c r="N9" s="1005">
        <f>K9^2-0.66</f>
        <v>-0.66</v>
      </c>
      <c r="O9" s="1013">
        <f>L9^2-0.66</f>
        <v>1.3000000000000012</v>
      </c>
      <c r="P9" s="1040">
        <v>11</v>
      </c>
      <c r="Q9" s="1058">
        <v>-1.1102230246251565E-15</v>
      </c>
      <c r="R9" s="1026">
        <v>-1.1102230246251565E-15</v>
      </c>
      <c r="S9" s="1020">
        <v>-1.1102230246251565E-15</v>
      </c>
      <c r="T9" s="1026">
        <v>0</v>
      </c>
      <c r="U9" s="1020">
        <v>0</v>
      </c>
      <c r="V9" s="1026">
        <v>0</v>
      </c>
      <c r="W9" s="1058">
        <v>19.368000000000009</v>
      </c>
      <c r="X9" s="1020">
        <v>-3.681600000000004</v>
      </c>
    </row>
    <row r="10" spans="1:24">
      <c r="A10" s="1012">
        <v>8</v>
      </c>
      <c r="B10" s="1011">
        <v>2</v>
      </c>
      <c r="C10" s="1011">
        <v>8.4</v>
      </c>
      <c r="D10" s="1006" t="s">
        <v>0</v>
      </c>
      <c r="E10" s="1009">
        <v>3.6</v>
      </c>
      <c r="F10" s="1009">
        <f>E10</f>
        <v>3.6</v>
      </c>
      <c r="G10" s="1009">
        <v>3.5970586114098966</v>
      </c>
      <c r="H10" s="1008">
        <v>1</v>
      </c>
      <c r="I10" s="1007">
        <v>0</v>
      </c>
      <c r="J10" s="1006">
        <v>0</v>
      </c>
      <c r="K10" s="1008">
        <f>(B10-2)</f>
        <v>0</v>
      </c>
      <c r="L10" s="1006">
        <f>(C10-7)</f>
        <v>1.4000000000000004</v>
      </c>
      <c r="M10" s="1007">
        <f>K10*L10</f>
        <v>0</v>
      </c>
      <c r="N10" s="1007">
        <f>K10^2-0.66</f>
        <v>-0.66</v>
      </c>
      <c r="O10" s="1006">
        <f>L10^2-0.66</f>
        <v>1.3000000000000012</v>
      </c>
      <c r="P10" s="1037">
        <v>22</v>
      </c>
      <c r="Q10" s="1057">
        <v>1.9984014443252818E-15</v>
      </c>
      <c r="R10" s="1011">
        <v>1.9984014443252818E-15</v>
      </c>
      <c r="S10" s="1018">
        <v>1.9984014443252818E-15</v>
      </c>
      <c r="T10" s="1011">
        <v>0</v>
      </c>
      <c r="U10" s="1018">
        <v>0</v>
      </c>
      <c r="V10" s="1011">
        <v>0</v>
      </c>
      <c r="W10" s="1057">
        <v>-3.681600000000004</v>
      </c>
      <c r="X10" s="1018">
        <v>19.368000000000031</v>
      </c>
    </row>
    <row r="11" spans="1:24" ht="18.75">
      <c r="A11" s="1027">
        <v>9</v>
      </c>
      <c r="B11" s="1004">
        <v>2</v>
      </c>
      <c r="C11" s="1004">
        <v>7</v>
      </c>
      <c r="D11" s="1013" t="s">
        <v>0</v>
      </c>
      <c r="E11" s="1025">
        <v>3.6</v>
      </c>
      <c r="F11" s="1024">
        <f>AVERAGE(E11:E14)</f>
        <v>3.125</v>
      </c>
      <c r="G11" s="1024">
        <v>3.087143002855977</v>
      </c>
      <c r="H11" s="1023">
        <v>1</v>
      </c>
      <c r="I11" s="1021">
        <v>0</v>
      </c>
      <c r="J11" s="1022">
        <v>0</v>
      </c>
      <c r="K11" s="1023">
        <f>(B11-2)</f>
        <v>0</v>
      </c>
      <c r="L11" s="1022">
        <f>(C11-7)</f>
        <v>0</v>
      </c>
      <c r="M11" s="1021">
        <f>K11*L11</f>
        <v>0</v>
      </c>
      <c r="N11" s="1021">
        <f>K11^2-0.66</f>
        <v>-0.66</v>
      </c>
      <c r="O11" s="1022">
        <f>L11^2-0.66</f>
        <v>-0.66</v>
      </c>
      <c r="P11" s="1034" t="s">
        <v>40</v>
      </c>
      <c r="Q11" s="1067"/>
      <c r="R11" s="1067"/>
      <c r="S11" s="1067"/>
      <c r="T11" s="1067"/>
      <c r="U11" s="1067"/>
      <c r="V11" s="1067"/>
      <c r="W11" s="1067"/>
      <c r="X11" s="1066"/>
    </row>
    <row r="12" spans="1:24">
      <c r="A12" s="1017">
        <v>10</v>
      </c>
      <c r="B12" s="1004">
        <v>2</v>
      </c>
      <c r="C12" s="1004">
        <v>7</v>
      </c>
      <c r="D12" s="1013" t="s">
        <v>0</v>
      </c>
      <c r="E12" s="1016">
        <v>2.7</v>
      </c>
      <c r="F12" s="1015">
        <f>F11</f>
        <v>3.125</v>
      </c>
      <c r="G12" s="1015">
        <v>3.087143002855977</v>
      </c>
      <c r="H12" s="1014">
        <v>1</v>
      </c>
      <c r="I12" s="1005">
        <v>0</v>
      </c>
      <c r="J12" s="1013">
        <v>0</v>
      </c>
      <c r="K12" s="1014">
        <f>(B12-2)</f>
        <v>0</v>
      </c>
      <c r="L12" s="1013">
        <f>(C12-7)</f>
        <v>0</v>
      </c>
      <c r="M12" s="1005">
        <f>K12*L12</f>
        <v>0</v>
      </c>
      <c r="N12" s="1005">
        <f>K12^2-0.66</f>
        <v>-0.66</v>
      </c>
      <c r="O12" s="1013">
        <f>L12^2-0.66</f>
        <v>-0.66</v>
      </c>
      <c r="P12" s="1065"/>
      <c r="Q12" s="1043" t="s">
        <v>0</v>
      </c>
      <c r="R12" s="1064" t="s">
        <v>1</v>
      </c>
      <c r="S12" s="1063" t="s">
        <v>2</v>
      </c>
      <c r="T12" s="1064" t="s">
        <v>68</v>
      </c>
      <c r="U12" s="1063" t="s">
        <v>66</v>
      </c>
      <c r="V12" s="1031">
        <v>12</v>
      </c>
      <c r="W12" s="1064">
        <v>11</v>
      </c>
      <c r="X12" s="1063">
        <v>22</v>
      </c>
    </row>
    <row r="13" spans="1:24">
      <c r="A13" s="1017">
        <v>11</v>
      </c>
      <c r="B13" s="1004">
        <v>2</v>
      </c>
      <c r="C13" s="1004">
        <v>7</v>
      </c>
      <c r="D13" s="1013" t="s">
        <v>0</v>
      </c>
      <c r="E13" s="1016">
        <v>3.4</v>
      </c>
      <c r="F13" s="1015">
        <f>F12</f>
        <v>3.125</v>
      </c>
      <c r="G13" s="1015">
        <v>3.087143002855977</v>
      </c>
      <c r="H13" s="1014">
        <v>1</v>
      </c>
      <c r="I13" s="1005">
        <v>0</v>
      </c>
      <c r="J13" s="1013">
        <v>0</v>
      </c>
      <c r="K13" s="1014">
        <f>(B13-2)</f>
        <v>0</v>
      </c>
      <c r="L13" s="1013">
        <f>(C13-7)</f>
        <v>0</v>
      </c>
      <c r="M13" s="1005">
        <f>K13*L13</f>
        <v>0</v>
      </c>
      <c r="N13" s="1005">
        <f>K13^2-0.66</f>
        <v>-0.66</v>
      </c>
      <c r="O13" s="1013">
        <f>L13^2-0.66</f>
        <v>-0.66</v>
      </c>
      <c r="P13" s="1040" t="s">
        <v>0</v>
      </c>
      <c r="Q13" s="1058">
        <f t="array" ref="Q13:X20">MINVERSE(MMULT(TRANSPOSE(X),X))</f>
        <v>8.3333333333333329E-2</v>
      </c>
      <c r="R13" s="1026">
        <v>1.630345612198009E-33</v>
      </c>
      <c r="S13" s="1020">
        <v>1.630345612198009E-33</v>
      </c>
      <c r="T13" s="1026">
        <v>0</v>
      </c>
      <c r="U13" s="1020">
        <v>0</v>
      </c>
      <c r="V13" s="1026">
        <v>0</v>
      </c>
      <c r="W13" s="1058">
        <v>3.2602425523268951E-18</v>
      </c>
      <c r="X13" s="1020">
        <v>-7.9786526597029395E-18</v>
      </c>
    </row>
    <row r="14" spans="1:24">
      <c r="A14" s="1012">
        <v>12</v>
      </c>
      <c r="B14" s="1011">
        <v>2</v>
      </c>
      <c r="C14" s="1011">
        <v>7</v>
      </c>
      <c r="D14" s="1006" t="s">
        <v>0</v>
      </c>
      <c r="E14" s="1010">
        <v>2.8</v>
      </c>
      <c r="F14" s="1009">
        <f>F13</f>
        <v>3.125</v>
      </c>
      <c r="G14" s="1009">
        <v>3.087143002855977</v>
      </c>
      <c r="H14" s="1008">
        <v>1</v>
      </c>
      <c r="I14" s="1007">
        <v>0</v>
      </c>
      <c r="J14" s="1006">
        <v>0</v>
      </c>
      <c r="K14" s="1008">
        <f>(B14-2)</f>
        <v>0</v>
      </c>
      <c r="L14" s="1006">
        <f>(C14-7)</f>
        <v>0</v>
      </c>
      <c r="M14" s="1007">
        <f>K14*L14</f>
        <v>0</v>
      </c>
      <c r="N14" s="1007">
        <f>K14^2-0.66</f>
        <v>-0.66</v>
      </c>
      <c r="O14" s="1006">
        <f>L14^2-0.66</f>
        <v>-0.66</v>
      </c>
      <c r="P14" s="1052" t="s">
        <v>1</v>
      </c>
      <c r="Q14" s="1057">
        <v>1.630345612198009E-33</v>
      </c>
      <c r="R14" s="1011">
        <v>8.3333333333333329E-2</v>
      </c>
      <c r="S14" s="1018">
        <v>1.630345612198009E-33</v>
      </c>
      <c r="T14" s="1011">
        <v>0</v>
      </c>
      <c r="U14" s="1018">
        <v>0</v>
      </c>
      <c r="V14" s="1011">
        <v>0</v>
      </c>
      <c r="W14" s="1057">
        <v>3.2602425523268951E-18</v>
      </c>
      <c r="X14" s="1018">
        <v>-7.9786526597029395E-18</v>
      </c>
    </row>
    <row r="15" spans="1:24">
      <c r="A15" s="1027">
        <v>13</v>
      </c>
      <c r="B15" s="1026">
        <v>3</v>
      </c>
      <c r="C15" s="1026">
        <v>6</v>
      </c>
      <c r="D15" s="1022" t="s">
        <v>372</v>
      </c>
      <c r="E15" s="1025">
        <v>4.2</v>
      </c>
      <c r="F15" s="1015">
        <f>E15</f>
        <v>4.2</v>
      </c>
      <c r="G15" s="1024">
        <v>4.2194179143536541</v>
      </c>
      <c r="H15" s="1023">
        <v>0</v>
      </c>
      <c r="I15" s="1021">
        <v>1</v>
      </c>
      <c r="J15" s="1022">
        <v>0</v>
      </c>
      <c r="K15" s="1023">
        <f>(B15-2)</f>
        <v>1</v>
      </c>
      <c r="L15" s="1022">
        <f>(C15-7)</f>
        <v>-1</v>
      </c>
      <c r="M15" s="1021">
        <f>K15*L15</f>
        <v>-1</v>
      </c>
      <c r="N15" s="1021">
        <f>K15^2-0.66</f>
        <v>0.33999999999999997</v>
      </c>
      <c r="O15" s="1022">
        <f>L15^2-0.66</f>
        <v>0.33999999999999997</v>
      </c>
      <c r="P15" s="1037" t="s">
        <v>2</v>
      </c>
      <c r="Q15" s="1062">
        <v>1.630345612198009E-33</v>
      </c>
      <c r="R15" s="1004">
        <v>1.630345612198009E-33</v>
      </c>
      <c r="S15" s="1051">
        <v>8.3333333333333329E-2</v>
      </c>
      <c r="T15" s="1004">
        <v>0</v>
      </c>
      <c r="U15" s="1051">
        <v>0</v>
      </c>
      <c r="V15" s="1004">
        <v>0</v>
      </c>
      <c r="W15" s="1062">
        <v>3.2602425523268951E-18</v>
      </c>
      <c r="X15" s="1051">
        <v>-7.9786526597029395E-18</v>
      </c>
    </row>
    <row r="16" spans="1:24">
      <c r="A16" s="1017">
        <v>14</v>
      </c>
      <c r="B16" s="1004">
        <v>3</v>
      </c>
      <c r="C16" s="1004">
        <v>8</v>
      </c>
      <c r="D16" s="1013" t="s">
        <v>372</v>
      </c>
      <c r="E16" s="1016">
        <v>5.7</v>
      </c>
      <c r="F16" s="1015">
        <f>E16</f>
        <v>5.7</v>
      </c>
      <c r="G16" s="1015">
        <v>5.4301923251280648</v>
      </c>
      <c r="H16" s="1014">
        <v>0</v>
      </c>
      <c r="I16" s="1005">
        <v>1</v>
      </c>
      <c r="J16" s="1013">
        <v>0</v>
      </c>
      <c r="K16" s="1014">
        <f>(B16-2)</f>
        <v>1</v>
      </c>
      <c r="L16" s="1013">
        <f>(C16-7)</f>
        <v>1</v>
      </c>
      <c r="M16" s="1005">
        <f>K16*L16</f>
        <v>1</v>
      </c>
      <c r="N16" s="1005">
        <f>K16^2-0.66</f>
        <v>0.33999999999999997</v>
      </c>
      <c r="O16" s="1013">
        <f>L16^2-0.66</f>
        <v>0.33999999999999997</v>
      </c>
      <c r="P16" s="1046" t="s">
        <v>68</v>
      </c>
      <c r="Q16" s="1062">
        <v>0</v>
      </c>
      <c r="R16" s="1004">
        <v>0</v>
      </c>
      <c r="S16" s="1051">
        <v>0</v>
      </c>
      <c r="T16" s="1004">
        <v>4.208754208754209E-2</v>
      </c>
      <c r="U16" s="1051">
        <v>0</v>
      </c>
      <c r="V16" s="1004">
        <v>0</v>
      </c>
      <c r="W16" s="1062">
        <v>0</v>
      </c>
      <c r="X16" s="1051">
        <v>0</v>
      </c>
    </row>
    <row r="17" spans="1:24">
      <c r="A17" s="1017">
        <v>15</v>
      </c>
      <c r="B17" s="1004">
        <v>1</v>
      </c>
      <c r="C17" s="1004">
        <v>6</v>
      </c>
      <c r="D17" s="1013" t="s">
        <v>372</v>
      </c>
      <c r="E17" s="1016">
        <v>2.2999999999999998</v>
      </c>
      <c r="F17" s="1015">
        <f>E17</f>
        <v>2.2999999999999998</v>
      </c>
      <c r="G17" s="1015">
        <v>2.7264886214243602</v>
      </c>
      <c r="H17" s="1014">
        <v>0</v>
      </c>
      <c r="I17" s="1005">
        <v>1</v>
      </c>
      <c r="J17" s="1013">
        <v>0</v>
      </c>
      <c r="K17" s="1014">
        <f>(B17-2)</f>
        <v>-1</v>
      </c>
      <c r="L17" s="1013">
        <f>(C17-7)</f>
        <v>-1</v>
      </c>
      <c r="M17" s="1005">
        <f>K17*L17</f>
        <v>1</v>
      </c>
      <c r="N17" s="1005">
        <f>K17^2-0.66</f>
        <v>0.33999999999999997</v>
      </c>
      <c r="O17" s="1013">
        <f>L17^2-0.66</f>
        <v>0.33999999999999997</v>
      </c>
      <c r="P17" s="1046" t="s">
        <v>66</v>
      </c>
      <c r="Q17" s="1057">
        <v>0</v>
      </c>
      <c r="R17" s="1004">
        <v>0</v>
      </c>
      <c r="S17" s="1051">
        <v>0</v>
      </c>
      <c r="T17" s="1004">
        <v>0</v>
      </c>
      <c r="U17" s="1004">
        <v>4.2087542087542076E-2</v>
      </c>
      <c r="V17" s="1035">
        <v>0</v>
      </c>
      <c r="W17" s="1004">
        <v>0</v>
      </c>
      <c r="X17" s="1061">
        <v>0</v>
      </c>
    </row>
    <row r="18" spans="1:24">
      <c r="A18" s="1012">
        <v>16</v>
      </c>
      <c r="B18" s="1011">
        <v>1</v>
      </c>
      <c r="C18" s="1011">
        <v>8</v>
      </c>
      <c r="D18" s="1006" t="s">
        <v>372</v>
      </c>
      <c r="E18" s="1010">
        <v>2.5</v>
      </c>
      <c r="F18" s="1009">
        <f>E18</f>
        <v>2.5</v>
      </c>
      <c r="G18" s="1009">
        <v>2.6705963655321052</v>
      </c>
      <c r="H18" s="1008">
        <v>0</v>
      </c>
      <c r="I18" s="1007">
        <v>1</v>
      </c>
      <c r="J18" s="1006">
        <v>0</v>
      </c>
      <c r="K18" s="1008">
        <f>(B18-2)</f>
        <v>-1</v>
      </c>
      <c r="L18" s="1006">
        <f>(C18-7)</f>
        <v>1</v>
      </c>
      <c r="M18" s="1007">
        <f>K18*L18</f>
        <v>-1</v>
      </c>
      <c r="N18" s="1007">
        <f>K18^2-0.66</f>
        <v>0.33999999999999997</v>
      </c>
      <c r="O18" s="1006">
        <f>L18^2-0.66</f>
        <v>0.33999999999999997</v>
      </c>
      <c r="P18" s="1043">
        <v>12</v>
      </c>
      <c r="Q18" s="1060">
        <v>0</v>
      </c>
      <c r="R18" s="1061">
        <v>0</v>
      </c>
      <c r="S18" s="1059">
        <v>0</v>
      </c>
      <c r="T18" s="1061">
        <v>0</v>
      </c>
      <c r="U18" s="1059">
        <v>0</v>
      </c>
      <c r="V18" s="1061">
        <v>8.3333333333333329E-2</v>
      </c>
      <c r="W18" s="1060">
        <v>0</v>
      </c>
      <c r="X18" s="1059">
        <v>0</v>
      </c>
    </row>
    <row r="19" spans="1:24">
      <c r="A19" s="1027">
        <v>17</v>
      </c>
      <c r="B19" s="1004">
        <v>0.6</v>
      </c>
      <c r="C19" s="1004">
        <v>7</v>
      </c>
      <c r="D19" s="1022" t="s">
        <v>372</v>
      </c>
      <c r="E19" s="1016">
        <v>2.7</v>
      </c>
      <c r="F19" s="1024">
        <f>E19</f>
        <v>2.7</v>
      </c>
      <c r="G19" s="1025">
        <v>2.2711326854839697</v>
      </c>
      <c r="H19" s="1023">
        <v>0</v>
      </c>
      <c r="I19" s="1021">
        <v>1</v>
      </c>
      <c r="J19" s="1022">
        <v>0</v>
      </c>
      <c r="K19" s="1023">
        <f>(B19-2)</f>
        <v>-1.4</v>
      </c>
      <c r="L19" s="1022">
        <f>(C19-7)</f>
        <v>0</v>
      </c>
      <c r="M19" s="1021">
        <f>K19*L19</f>
        <v>0</v>
      </c>
      <c r="N19" s="1021">
        <f>K19^2-0.66</f>
        <v>1.2999999999999998</v>
      </c>
      <c r="O19" s="1022">
        <f>L19^2-0.66</f>
        <v>-0.66</v>
      </c>
      <c r="P19" s="1040">
        <v>11</v>
      </c>
      <c r="Q19" s="1058">
        <v>3.2602425523268959E-18</v>
      </c>
      <c r="R19" s="1026">
        <v>3.2602425523268959E-18</v>
      </c>
      <c r="S19" s="1020">
        <v>3.2602425523268959E-18</v>
      </c>
      <c r="T19" s="1026">
        <v>0</v>
      </c>
      <c r="U19" s="1020">
        <v>0</v>
      </c>
      <c r="V19" s="1026">
        <v>0</v>
      </c>
      <c r="W19" s="1058">
        <v>5.3567095411591534E-2</v>
      </c>
      <c r="X19" s="1020">
        <v>1.0182394592488398E-2</v>
      </c>
    </row>
    <row r="20" spans="1:24">
      <c r="A20" s="1017">
        <v>18</v>
      </c>
      <c r="B20" s="1004">
        <v>3.4</v>
      </c>
      <c r="C20" s="1004">
        <v>7</v>
      </c>
      <c r="D20" s="1013" t="s">
        <v>372</v>
      </c>
      <c r="E20" s="1016">
        <v>5.2</v>
      </c>
      <c r="F20" s="1015">
        <f>E20</f>
        <v>5.2</v>
      </c>
      <c r="G20" s="1016">
        <v>5.2479003622516469</v>
      </c>
      <c r="H20" s="1014">
        <v>0</v>
      </c>
      <c r="I20" s="1005">
        <v>1</v>
      </c>
      <c r="J20" s="1013">
        <v>0</v>
      </c>
      <c r="K20" s="1014">
        <f>(B20-2)</f>
        <v>1.4</v>
      </c>
      <c r="L20" s="1013">
        <f>(C20-7)</f>
        <v>0</v>
      </c>
      <c r="M20" s="1005">
        <f>K20*L20</f>
        <v>0</v>
      </c>
      <c r="N20" s="1005">
        <f>K20^2-0.66</f>
        <v>1.2999999999999998</v>
      </c>
      <c r="O20" s="1013">
        <f>L20^2-0.66</f>
        <v>-0.66</v>
      </c>
      <c r="P20" s="1037">
        <v>22</v>
      </c>
      <c r="Q20" s="1057">
        <v>-7.9786526597029395E-18</v>
      </c>
      <c r="R20" s="1011">
        <v>-7.9786526597029395E-18</v>
      </c>
      <c r="S20" s="1018">
        <v>-7.9786526597029395E-18</v>
      </c>
      <c r="T20" s="1011">
        <v>0</v>
      </c>
      <c r="U20" s="1018">
        <v>0</v>
      </c>
      <c r="V20" s="1011">
        <v>0</v>
      </c>
      <c r="W20" s="1057">
        <v>1.0182394592488399E-2</v>
      </c>
      <c r="X20" s="1018">
        <v>5.3567095411591478E-2</v>
      </c>
    </row>
    <row r="21" spans="1:24">
      <c r="A21" s="1017">
        <v>19</v>
      </c>
      <c r="B21" s="1004">
        <v>2</v>
      </c>
      <c r="C21" s="1004">
        <v>5.6</v>
      </c>
      <c r="D21" s="1013" t="s">
        <v>372</v>
      </c>
      <c r="E21" s="1016">
        <v>3.4</v>
      </c>
      <c r="F21" s="1015">
        <f>E21</f>
        <v>3.4</v>
      </c>
      <c r="G21" s="1016">
        <v>3.3553077696590536</v>
      </c>
      <c r="H21" s="1014">
        <v>0</v>
      </c>
      <c r="I21" s="1005">
        <v>1</v>
      </c>
      <c r="J21" s="1013">
        <v>0</v>
      </c>
      <c r="K21" s="1014">
        <f>(B21-2)</f>
        <v>0</v>
      </c>
      <c r="L21" s="1013">
        <f>(C21-7)</f>
        <v>-1.4000000000000004</v>
      </c>
      <c r="M21" s="1005">
        <f>K21*L21</f>
        <v>0</v>
      </c>
      <c r="N21" s="1005">
        <f>K21^2-0.66</f>
        <v>-0.66</v>
      </c>
      <c r="O21" s="1013">
        <f>L21^2-0.66</f>
        <v>1.3000000000000012</v>
      </c>
    </row>
    <row r="22" spans="1:24" ht="19.5">
      <c r="A22" s="1012">
        <v>20</v>
      </c>
      <c r="B22" s="1011">
        <v>2</v>
      </c>
      <c r="C22" s="1011">
        <v>8.4</v>
      </c>
      <c r="D22" s="1006" t="s">
        <v>372</v>
      </c>
      <c r="E22" s="1016">
        <v>4.0999999999999996</v>
      </c>
      <c r="F22" s="1009">
        <f>E22</f>
        <v>4.0999999999999996</v>
      </c>
      <c r="G22" s="1010">
        <v>4.1637252780765621</v>
      </c>
      <c r="H22" s="1008">
        <v>0</v>
      </c>
      <c r="I22" s="1007">
        <v>1</v>
      </c>
      <c r="J22" s="1006">
        <v>0</v>
      </c>
      <c r="K22" s="1008">
        <f>(B22-2)</f>
        <v>0</v>
      </c>
      <c r="L22" s="1006">
        <f>(C22-7)</f>
        <v>1.4000000000000004</v>
      </c>
      <c r="M22" s="1007">
        <f>K22*L22</f>
        <v>0</v>
      </c>
      <c r="N22" s="1007">
        <f>K22^2-0.66</f>
        <v>-0.66</v>
      </c>
      <c r="O22" s="1006">
        <f>L22^2-0.66</f>
        <v>1.3000000000000012</v>
      </c>
      <c r="P22" s="144"/>
      <c r="Q22" s="1031" t="s">
        <v>39</v>
      </c>
      <c r="R22" s="1031" t="s">
        <v>183</v>
      </c>
      <c r="S22" s="1056" t="s">
        <v>43</v>
      </c>
      <c r="T22" s="1056" t="s">
        <v>33</v>
      </c>
      <c r="U22" s="144"/>
      <c r="V22" s="1054" t="s">
        <v>34</v>
      </c>
      <c r="W22" s="1031" t="s">
        <v>376</v>
      </c>
      <c r="X22" s="1055">
        <f>AVERAGE(Q23:Q25)</f>
        <v>3.530555555555555</v>
      </c>
    </row>
    <row r="23" spans="1:24" ht="18.75">
      <c r="A23" s="1027">
        <v>21</v>
      </c>
      <c r="B23" s="1026">
        <v>2</v>
      </c>
      <c r="C23" s="1026">
        <v>7</v>
      </c>
      <c r="D23" s="1022" t="s">
        <v>372</v>
      </c>
      <c r="E23" s="1025">
        <v>3.4</v>
      </c>
      <c r="F23" s="1024">
        <f>AVERAGE(E23:E26)</f>
        <v>3.65</v>
      </c>
      <c r="G23" s="1015">
        <v>3.6538096695226425</v>
      </c>
      <c r="H23" s="1023">
        <v>0</v>
      </c>
      <c r="I23" s="1021">
        <v>1</v>
      </c>
      <c r="J23" s="1022">
        <v>0</v>
      </c>
      <c r="K23" s="1023">
        <f>(B23-2)</f>
        <v>0</v>
      </c>
      <c r="L23" s="1022">
        <f>(C23-7)</f>
        <v>0</v>
      </c>
      <c r="M23" s="1021">
        <f>K23*L23</f>
        <v>0</v>
      </c>
      <c r="N23" s="1021">
        <f>K23^2-0.66</f>
        <v>-0.66</v>
      </c>
      <c r="O23" s="1022">
        <f>L23^2-0.66</f>
        <v>-0.66</v>
      </c>
      <c r="P23" s="1040" t="s">
        <v>0</v>
      </c>
      <c r="Q23" s="1039">
        <f t="array" ref="Q23:Q30">MMULT(Q13:X20,V23:V30)</f>
        <v>3.1583333333333332</v>
      </c>
      <c r="R23" s="1038" t="e">
        <f t="array" aca="1" ref="R23:R30" ca="1">SQRT([4]!DIAG(Q13:X20)*S35)</f>
        <v>#NAME?</v>
      </c>
      <c r="S23" s="1038" t="e">
        <f ca="1">Q23/R23</f>
        <v>#NAME?</v>
      </c>
      <c r="T23" s="1038"/>
      <c r="U23" s="144" t="str">
        <f>IF(T23&lt;=0.05,"*","")</f>
        <v>*</v>
      </c>
      <c r="V23" s="1038">
        <f t="array" ref="V23:V30">MMULT(TRANSPOSE(X),E3:E38)</f>
        <v>37.9</v>
      </c>
      <c r="W23" s="1054" t="s">
        <v>375</v>
      </c>
      <c r="X23" s="1053">
        <f>Q23-X$22</f>
        <v>-0.37222222222222179</v>
      </c>
    </row>
    <row r="24" spans="1:24" ht="18.75">
      <c r="A24" s="1017">
        <v>22</v>
      </c>
      <c r="B24" s="1004">
        <v>2</v>
      </c>
      <c r="C24" s="1004">
        <v>7</v>
      </c>
      <c r="D24" s="1013" t="s">
        <v>372</v>
      </c>
      <c r="E24" s="1016">
        <v>3.8</v>
      </c>
      <c r="F24" s="1015">
        <f>F23</f>
        <v>3.65</v>
      </c>
      <c r="G24" s="1015">
        <v>3.6538096695226425</v>
      </c>
      <c r="H24" s="1014">
        <v>0</v>
      </c>
      <c r="I24" s="1005">
        <v>1</v>
      </c>
      <c r="J24" s="1013">
        <v>0</v>
      </c>
      <c r="K24" s="1014">
        <f>(B24-2)</f>
        <v>0</v>
      </c>
      <c r="L24" s="1013">
        <f>(C24-7)</f>
        <v>0</v>
      </c>
      <c r="M24" s="1005">
        <f>K24*L24</f>
        <v>0</v>
      </c>
      <c r="N24" s="1005">
        <f>K24^2-0.66</f>
        <v>-0.66</v>
      </c>
      <c r="O24" s="1013">
        <f>L24^2-0.66</f>
        <v>-0.66</v>
      </c>
      <c r="P24" s="1052" t="s">
        <v>1</v>
      </c>
      <c r="Q24" s="1050">
        <v>3.7249999999999988</v>
      </c>
      <c r="R24" s="1049" t="e">
        <f ca="1"/>
        <v>#NAME?</v>
      </c>
      <c r="S24" s="1049" t="e">
        <f ca="1">Q24/R24</f>
        <v>#NAME?</v>
      </c>
      <c r="T24" s="1049" t="e">
        <f ca="1">TDIST(ABS(S24),R$35,2)</f>
        <v>#NAME?</v>
      </c>
      <c r="U24" s="144" t="e">
        <f ca="1">IF(T24&lt;=0.05,"*","")</f>
        <v>#NAME?</v>
      </c>
      <c r="V24" s="1049">
        <v>44.699999999999989</v>
      </c>
      <c r="W24" s="1028" t="s">
        <v>374</v>
      </c>
      <c r="X24" s="1051">
        <f>Q24-X$22</f>
        <v>0.19444444444444375</v>
      </c>
    </row>
    <row r="25" spans="1:24" ht="18.75">
      <c r="A25" s="1017">
        <v>23</v>
      </c>
      <c r="B25" s="1004">
        <v>2</v>
      </c>
      <c r="C25" s="1004">
        <v>7</v>
      </c>
      <c r="D25" s="1013" t="s">
        <v>372</v>
      </c>
      <c r="E25" s="1016">
        <v>3.8</v>
      </c>
      <c r="F25" s="1015">
        <f>F24</f>
        <v>3.65</v>
      </c>
      <c r="G25" s="1015">
        <v>3.6538096695226425</v>
      </c>
      <c r="H25" s="1014">
        <v>0</v>
      </c>
      <c r="I25" s="1005">
        <v>1</v>
      </c>
      <c r="J25" s="1013">
        <v>0</v>
      </c>
      <c r="K25" s="1014">
        <f>(B25-2)</f>
        <v>0</v>
      </c>
      <c r="L25" s="1013">
        <f>(C25-7)</f>
        <v>0</v>
      </c>
      <c r="M25" s="1005">
        <f>K25*L25</f>
        <v>0</v>
      </c>
      <c r="N25" s="1005">
        <f>K25^2-0.66</f>
        <v>-0.66</v>
      </c>
      <c r="O25" s="1013">
        <f>L25^2-0.66</f>
        <v>-0.66</v>
      </c>
      <c r="P25" s="1037" t="s">
        <v>2</v>
      </c>
      <c r="Q25" s="1036">
        <v>3.7083333333333326</v>
      </c>
      <c r="R25" s="1035" t="e">
        <f ca="1"/>
        <v>#NAME?</v>
      </c>
      <c r="S25" s="1035" t="e">
        <f ca="1">Q25/R25</f>
        <v>#NAME?</v>
      </c>
      <c r="T25" s="1035" t="e">
        <f ca="1">TDIST(ABS(S25),R$35,2)</f>
        <v>#NAME?</v>
      </c>
      <c r="U25" s="144" t="e">
        <f ca="1">IF(T25&lt;=0.05,"*","")</f>
        <v>#NAME?</v>
      </c>
      <c r="V25" s="1035">
        <v>44.499999999999993</v>
      </c>
      <c r="W25" s="1019" t="s">
        <v>373</v>
      </c>
      <c r="X25" s="1018">
        <f>Q25-X$22</f>
        <v>0.17777777777777759</v>
      </c>
    </row>
    <row r="26" spans="1:24">
      <c r="A26" s="1012">
        <v>24</v>
      </c>
      <c r="B26" s="1011">
        <v>2</v>
      </c>
      <c r="C26" s="1011">
        <v>7</v>
      </c>
      <c r="D26" s="1006" t="s">
        <v>372</v>
      </c>
      <c r="E26" s="1010">
        <v>3.6</v>
      </c>
      <c r="F26" s="1009">
        <f>F25</f>
        <v>3.65</v>
      </c>
      <c r="G26" s="1009">
        <v>3.6538096695226425</v>
      </c>
      <c r="H26" s="1008">
        <v>0</v>
      </c>
      <c r="I26" s="1007">
        <v>1</v>
      </c>
      <c r="J26" s="1006">
        <v>0</v>
      </c>
      <c r="K26" s="1008">
        <f>(B26-2)</f>
        <v>0</v>
      </c>
      <c r="L26" s="1006">
        <f>(C26-7)</f>
        <v>0</v>
      </c>
      <c r="M26" s="1007">
        <f>K26*L26</f>
        <v>0</v>
      </c>
      <c r="N26" s="1007">
        <f>K26^2-0.66</f>
        <v>-0.66</v>
      </c>
      <c r="O26" s="1006">
        <f>L26^2-0.66</f>
        <v>-0.66</v>
      </c>
      <c r="P26" s="1046" t="s">
        <v>68</v>
      </c>
      <c r="Q26" s="1050">
        <v>1.0631313131313131</v>
      </c>
      <c r="R26" s="1049" t="e">
        <f ca="1"/>
        <v>#NAME?</v>
      </c>
      <c r="S26" s="1049" t="e">
        <f ca="1">Q26/R26</f>
        <v>#NAME?</v>
      </c>
      <c r="T26" s="1049" t="e">
        <f ca="1">TDIST(ABS(S26),R$35,2)</f>
        <v>#NAME?</v>
      </c>
      <c r="U26" s="144" t="e">
        <f ca="1">IF(T26&lt;=0.05,"*","")</f>
        <v>#NAME?</v>
      </c>
      <c r="V26" s="1049">
        <v>25.259999999999998</v>
      </c>
      <c r="W26" s="1048" t="s">
        <v>371</v>
      </c>
      <c r="X26" s="1047"/>
    </row>
    <row r="27" spans="1:24">
      <c r="A27" s="1027">
        <v>25</v>
      </c>
      <c r="B27" s="1026">
        <v>3</v>
      </c>
      <c r="C27" s="1026">
        <v>6</v>
      </c>
      <c r="D27" s="1022" t="s">
        <v>2</v>
      </c>
      <c r="E27" s="1025">
        <v>4.2</v>
      </c>
      <c r="F27" s="1015">
        <f>E27</f>
        <v>4.2</v>
      </c>
      <c r="G27" s="1024">
        <v>4.2027512476869875</v>
      </c>
      <c r="H27" s="1023">
        <v>0</v>
      </c>
      <c r="I27" s="1021">
        <v>0</v>
      </c>
      <c r="J27" s="1022">
        <v>1</v>
      </c>
      <c r="K27" s="1023">
        <f>(B27-2)</f>
        <v>1</v>
      </c>
      <c r="L27" s="1022">
        <f>(C27-7)</f>
        <v>-1</v>
      </c>
      <c r="M27" s="1021">
        <f>K27*L27</f>
        <v>-1</v>
      </c>
      <c r="N27" s="1021">
        <f>K27^2-0.66</f>
        <v>0.33999999999999997</v>
      </c>
      <c r="O27" s="1022">
        <f>L27^2-0.66</f>
        <v>0.33999999999999997</v>
      </c>
      <c r="P27" s="1046" t="s">
        <v>66</v>
      </c>
      <c r="Q27" s="1036">
        <v>0.28872053872053871</v>
      </c>
      <c r="R27" s="1035" t="e">
        <f ca="1"/>
        <v>#NAME?</v>
      </c>
      <c r="S27" s="1035" t="e">
        <f ca="1">Q27/R27</f>
        <v>#NAME?</v>
      </c>
      <c r="T27" s="1035" t="e">
        <f ca="1">TDIST(ABS(S27),R$35,2)</f>
        <v>#NAME?</v>
      </c>
      <c r="U27" s="144" t="e">
        <f ca="1">IF(T27&lt;=0.05,"*","")</f>
        <v>#NAME?</v>
      </c>
      <c r="V27" s="1035">
        <v>6.8600000000000021</v>
      </c>
      <c r="W27" s="1045"/>
      <c r="X27" s="1044"/>
    </row>
    <row r="28" spans="1:24">
      <c r="A28" s="1017">
        <v>26</v>
      </c>
      <c r="B28" s="1004">
        <v>3</v>
      </c>
      <c r="C28" s="1004">
        <v>8</v>
      </c>
      <c r="D28" s="1013" t="s">
        <v>2</v>
      </c>
      <c r="E28" s="1016">
        <v>5.7</v>
      </c>
      <c r="F28" s="1015">
        <f>E28</f>
        <v>5.7</v>
      </c>
      <c r="G28" s="1015">
        <v>5.4135256584613982</v>
      </c>
      <c r="H28" s="1014">
        <v>0</v>
      </c>
      <c r="I28" s="1005">
        <v>0</v>
      </c>
      <c r="J28" s="1013">
        <v>1</v>
      </c>
      <c r="K28" s="1014">
        <f>(B28-2)</f>
        <v>1</v>
      </c>
      <c r="L28" s="1013">
        <f>(C28-7)</f>
        <v>1</v>
      </c>
      <c r="M28" s="1005">
        <f>K28*L28</f>
        <v>1</v>
      </c>
      <c r="N28" s="1005">
        <f>K28^2-0.66</f>
        <v>0.33999999999999997</v>
      </c>
      <c r="O28" s="1013">
        <f>L28^2-0.66</f>
        <v>0.33999999999999997</v>
      </c>
      <c r="P28" s="1043">
        <v>12</v>
      </c>
      <c r="Q28" s="1042">
        <v>0.31666666666666665</v>
      </c>
      <c r="R28" s="1041" t="e">
        <f ca="1"/>
        <v>#NAME?</v>
      </c>
      <c r="S28" s="1041" t="e">
        <f ca="1">Q28/R28</f>
        <v>#NAME?</v>
      </c>
      <c r="T28" s="1041" t="e">
        <f ca="1">TDIST(ABS(S28),R$35,2)</f>
        <v>#NAME?</v>
      </c>
      <c r="U28" s="144" t="e">
        <f ca="1">IF(T28&lt;=0.05,"*","")</f>
        <v>#NAME?</v>
      </c>
      <c r="V28" s="1035">
        <v>3.8</v>
      </c>
    </row>
    <row r="29" spans="1:24">
      <c r="A29" s="1017">
        <v>27</v>
      </c>
      <c r="B29" s="1004">
        <v>1</v>
      </c>
      <c r="C29" s="1004">
        <v>6</v>
      </c>
      <c r="D29" s="1013" t="s">
        <v>2</v>
      </c>
      <c r="E29" s="1016">
        <v>2.2999999999999998</v>
      </c>
      <c r="F29" s="1015">
        <f>E29</f>
        <v>2.2999999999999998</v>
      </c>
      <c r="G29" s="1015">
        <v>2.7098219547576945</v>
      </c>
      <c r="H29" s="1014">
        <v>0</v>
      </c>
      <c r="I29" s="1005">
        <v>0</v>
      </c>
      <c r="J29" s="1013">
        <v>1</v>
      </c>
      <c r="K29" s="1014">
        <f>(B29-2)</f>
        <v>-1</v>
      </c>
      <c r="L29" s="1013">
        <f>(C29-7)</f>
        <v>-1</v>
      </c>
      <c r="M29" s="1005">
        <f>K29*L29</f>
        <v>1</v>
      </c>
      <c r="N29" s="1005">
        <f>K29^2-0.66</f>
        <v>0.33999999999999997</v>
      </c>
      <c r="O29" s="1013">
        <f>L29^2-0.66</f>
        <v>0.33999999999999997</v>
      </c>
      <c r="P29" s="1040">
        <v>11</v>
      </c>
      <c r="Q29" s="1039">
        <v>5.3932068543451929E-2</v>
      </c>
      <c r="R29" s="1038" t="e">
        <f ca="1"/>
        <v>#NAME?</v>
      </c>
      <c r="S29" s="1038" t="e">
        <f ca="1">Q29/R29</f>
        <v>#NAME?</v>
      </c>
      <c r="T29" s="1038" t="e">
        <f ca="1">TDIST(ABS(S29),R$35,2)</f>
        <v>#NAME?</v>
      </c>
      <c r="U29" s="144" t="e">
        <f ca="1">IF(T29&lt;=0.05,"*","")</f>
        <v>#NAME?</v>
      </c>
      <c r="V29" s="1038">
        <v>0.84599999999999431</v>
      </c>
    </row>
    <row r="30" spans="1:24">
      <c r="A30" s="1012">
        <v>28</v>
      </c>
      <c r="B30" s="1011">
        <v>1</v>
      </c>
      <c r="C30" s="1011">
        <v>8</v>
      </c>
      <c r="D30" s="1006" t="s">
        <v>2</v>
      </c>
      <c r="E30" s="1010">
        <v>2.5</v>
      </c>
      <c r="F30" s="1009">
        <f>E30</f>
        <v>2.5</v>
      </c>
      <c r="G30" s="1009">
        <v>2.6539296988654386</v>
      </c>
      <c r="H30" s="1008">
        <v>0</v>
      </c>
      <c r="I30" s="1007">
        <v>0</v>
      </c>
      <c r="J30" s="1006">
        <v>1</v>
      </c>
      <c r="K30" s="1008">
        <f>(B30-2)</f>
        <v>-1</v>
      </c>
      <c r="L30" s="1006">
        <f>(C30-7)</f>
        <v>1</v>
      </c>
      <c r="M30" s="1007">
        <f>K30*L30</f>
        <v>-1</v>
      </c>
      <c r="N30" s="1007">
        <f>K30^2-0.66</f>
        <v>0.33999999999999997</v>
      </c>
      <c r="O30" s="1006">
        <f>L30^2-0.66</f>
        <v>0.33999999999999997</v>
      </c>
      <c r="P30" s="1037">
        <v>22</v>
      </c>
      <c r="Q30" s="1036">
        <v>5.3932068543451527E-2</v>
      </c>
      <c r="R30" s="1035" t="e">
        <f ca="1"/>
        <v>#NAME?</v>
      </c>
      <c r="S30" s="1035" t="e">
        <f ca="1">Q30/R30</f>
        <v>#NAME?</v>
      </c>
      <c r="T30" s="1035" t="e">
        <f ca="1">TDIST(ABS(S30),R$35,2)</f>
        <v>#NAME?</v>
      </c>
      <c r="U30" s="144" t="e">
        <f ca="1">IF(T30&lt;=0.05,"*","")</f>
        <v>#NAME?</v>
      </c>
      <c r="V30" s="1035">
        <v>0.84600000000001918</v>
      </c>
    </row>
    <row r="31" spans="1:24">
      <c r="A31" s="1027">
        <v>29</v>
      </c>
      <c r="B31" s="1004">
        <v>0.6</v>
      </c>
      <c r="C31" s="1004">
        <v>7</v>
      </c>
      <c r="D31" s="1022" t="s">
        <v>2</v>
      </c>
      <c r="E31" s="1016">
        <v>2.7</v>
      </c>
      <c r="F31" s="1024">
        <f>E31</f>
        <v>2.7</v>
      </c>
      <c r="G31" s="1025">
        <v>2.254466018817304</v>
      </c>
      <c r="H31" s="1023">
        <v>0</v>
      </c>
      <c r="I31" s="1021">
        <v>0</v>
      </c>
      <c r="J31" s="1022">
        <v>1</v>
      </c>
      <c r="K31" s="1023">
        <f>(B31-2)</f>
        <v>-1.4</v>
      </c>
      <c r="L31" s="1022">
        <f>(C31-7)</f>
        <v>0</v>
      </c>
      <c r="M31" s="1021">
        <f>K31*L31</f>
        <v>0</v>
      </c>
      <c r="N31" s="1021">
        <f>K31^2-0.66</f>
        <v>1.2999999999999998</v>
      </c>
      <c r="O31" s="1022">
        <f>L31^2-0.66</f>
        <v>-0.66</v>
      </c>
    </row>
    <row r="32" spans="1:24">
      <c r="A32" s="1017">
        <v>30</v>
      </c>
      <c r="B32" s="1004">
        <v>3.4</v>
      </c>
      <c r="C32" s="1004">
        <v>7</v>
      </c>
      <c r="D32" s="1013" t="s">
        <v>2</v>
      </c>
      <c r="E32" s="1016">
        <v>5.2</v>
      </c>
      <c r="F32" s="1015">
        <f>E32</f>
        <v>5.2</v>
      </c>
      <c r="G32" s="1016">
        <v>5.2312336955849803</v>
      </c>
      <c r="H32" s="1014">
        <v>0</v>
      </c>
      <c r="I32" s="1005">
        <v>0</v>
      </c>
      <c r="J32" s="1013">
        <v>1</v>
      </c>
      <c r="K32" s="1014">
        <f>(B32-2)</f>
        <v>1.4</v>
      </c>
      <c r="L32" s="1013">
        <f>(C32-7)</f>
        <v>0</v>
      </c>
      <c r="M32" s="1005">
        <f>K32*L32</f>
        <v>0</v>
      </c>
      <c r="N32" s="1005">
        <f>K32^2-0.66</f>
        <v>1.2999999999999998</v>
      </c>
      <c r="O32" s="1013">
        <f>L32^2-0.66</f>
        <v>-0.66</v>
      </c>
      <c r="P32" s="1034" t="s">
        <v>27</v>
      </c>
      <c r="Q32" s="1033"/>
      <c r="R32" s="1033"/>
      <c r="S32" s="1033"/>
      <c r="T32" s="1033"/>
      <c r="U32" s="1032"/>
    </row>
    <row r="33" spans="1:21">
      <c r="A33" s="1017">
        <v>31</v>
      </c>
      <c r="B33" s="1004">
        <v>2</v>
      </c>
      <c r="C33" s="1004">
        <v>5.6</v>
      </c>
      <c r="D33" s="1013" t="s">
        <v>2</v>
      </c>
      <c r="E33" s="1016">
        <v>3.4</v>
      </c>
      <c r="F33" s="1015">
        <f>E33</f>
        <v>3.4</v>
      </c>
      <c r="G33" s="1016">
        <v>3.3386411029923875</v>
      </c>
      <c r="H33" s="1014">
        <v>0</v>
      </c>
      <c r="I33" s="1005">
        <v>0</v>
      </c>
      <c r="J33" s="1013">
        <v>1</v>
      </c>
      <c r="K33" s="1014">
        <f>(B33-2)</f>
        <v>0</v>
      </c>
      <c r="L33" s="1013">
        <f>(C33-7)</f>
        <v>-1.4000000000000004</v>
      </c>
      <c r="M33" s="1005">
        <f>K33*L33</f>
        <v>0</v>
      </c>
      <c r="N33" s="1005">
        <f>K33^2-0.66</f>
        <v>-0.66</v>
      </c>
      <c r="O33" s="1013">
        <f>L33^2-0.66</f>
        <v>1.3000000000000012</v>
      </c>
      <c r="P33" s="1031" t="s">
        <v>47</v>
      </c>
      <c r="Q33" s="1030" t="s">
        <v>30</v>
      </c>
      <c r="R33" s="1030" t="s">
        <v>31</v>
      </c>
      <c r="S33" s="1029" t="s">
        <v>32</v>
      </c>
      <c r="T33" s="1030" t="s">
        <v>3</v>
      </c>
      <c r="U33" s="1029" t="s">
        <v>33</v>
      </c>
    </row>
    <row r="34" spans="1:21">
      <c r="A34" s="1012">
        <v>32</v>
      </c>
      <c r="B34" s="1011">
        <v>2</v>
      </c>
      <c r="C34" s="1011">
        <v>8.4</v>
      </c>
      <c r="D34" s="1006" t="s">
        <v>2</v>
      </c>
      <c r="E34" s="1016">
        <v>4.0999999999999996</v>
      </c>
      <c r="F34" s="1009">
        <f>E34</f>
        <v>4.0999999999999996</v>
      </c>
      <c r="G34" s="1010">
        <v>4.1470586114098955</v>
      </c>
      <c r="H34" s="1008">
        <v>0</v>
      </c>
      <c r="I34" s="1007">
        <v>0</v>
      </c>
      <c r="J34" s="1006">
        <v>1</v>
      </c>
      <c r="K34" s="1008">
        <f>(B34-2)</f>
        <v>0</v>
      </c>
      <c r="L34" s="1006">
        <f>(C34-7)</f>
        <v>1.4000000000000004</v>
      </c>
      <c r="M34" s="1007">
        <f>K34*L34</f>
        <v>0</v>
      </c>
      <c r="N34" s="1007">
        <f>K34^2-0.66</f>
        <v>-0.66</v>
      </c>
      <c r="O34" s="1006">
        <f>L34^2-0.66</f>
        <v>1.3000000000000012</v>
      </c>
      <c r="P34" s="1028" t="s">
        <v>5</v>
      </c>
      <c r="Q34" s="1026">
        <f>SUMSQ(G3:G38)-24*AVERAGE(E3:E38)^2</f>
        <v>182.20333218455426</v>
      </c>
      <c r="R34" s="1026">
        <f>8-1</f>
        <v>7</v>
      </c>
      <c r="S34" s="1020">
        <f>Q34/R34</f>
        <v>26.029047454936322</v>
      </c>
      <c r="T34" s="1026">
        <f>S34/S35</f>
        <v>358.85745865302374</v>
      </c>
      <c r="U34" s="1020">
        <f>FDIST(T34,R34,R35)</f>
        <v>1.1271285130295652E-25</v>
      </c>
    </row>
    <row r="35" spans="1:21">
      <c r="A35" s="1027">
        <v>33</v>
      </c>
      <c r="B35" s="1026">
        <v>2</v>
      </c>
      <c r="C35" s="1026">
        <v>7</v>
      </c>
      <c r="D35" s="1022" t="s">
        <v>2</v>
      </c>
      <c r="E35" s="1025">
        <v>3.4</v>
      </c>
      <c r="F35" s="1024">
        <f>AVERAGE(E35:E38)</f>
        <v>3.5999999999999996</v>
      </c>
      <c r="G35" s="1015">
        <v>3.6371430028559764</v>
      </c>
      <c r="H35" s="1023">
        <v>0</v>
      </c>
      <c r="I35" s="1021">
        <v>0</v>
      </c>
      <c r="J35" s="1022">
        <v>1</v>
      </c>
      <c r="K35" s="1023">
        <f>(B35-2)</f>
        <v>0</v>
      </c>
      <c r="L35" s="1022">
        <f>(C35-7)</f>
        <v>0</v>
      </c>
      <c r="M35" s="1021">
        <f>K35*L35</f>
        <v>0</v>
      </c>
      <c r="N35" s="1021">
        <f>K35^2-0.66</f>
        <v>-0.66</v>
      </c>
      <c r="O35" s="1022">
        <f>L35^2-0.66</f>
        <v>-0.66</v>
      </c>
      <c r="P35" s="1019" t="s">
        <v>6</v>
      </c>
      <c r="Q35" s="1011">
        <f>SUMSQ(E3:E38)-SUMSQ(G3:G38)</f>
        <v>2.0309270747048913</v>
      </c>
      <c r="R35" s="1011">
        <f>36-8</f>
        <v>28</v>
      </c>
      <c r="S35" s="1018">
        <f>Q35/R35</f>
        <v>7.2533109810888979E-2</v>
      </c>
      <c r="T35" s="1021" t="s">
        <v>191</v>
      </c>
      <c r="U35" s="1020">
        <f>SQRT(S35)</f>
        <v>0.26931971671396243</v>
      </c>
    </row>
    <row r="36" spans="1:21" ht="18.75">
      <c r="A36" s="1017">
        <v>34</v>
      </c>
      <c r="B36" s="1004">
        <v>2</v>
      </c>
      <c r="C36" s="1004">
        <v>7</v>
      </c>
      <c r="D36" s="1013" t="s">
        <v>2</v>
      </c>
      <c r="E36" s="1016">
        <v>3.8</v>
      </c>
      <c r="F36" s="1015">
        <f>F35</f>
        <v>3.5999999999999996</v>
      </c>
      <c r="G36" s="1015">
        <v>3.6371430028559764</v>
      </c>
      <c r="H36" s="1014">
        <v>0</v>
      </c>
      <c r="I36" s="1005">
        <v>0</v>
      </c>
      <c r="J36" s="1013">
        <v>1</v>
      </c>
      <c r="K36" s="1014">
        <f>(B36-2)</f>
        <v>0</v>
      </c>
      <c r="L36" s="1013">
        <f>(C36-7)</f>
        <v>0</v>
      </c>
      <c r="M36" s="1005">
        <f>K36*L36</f>
        <v>0</v>
      </c>
      <c r="N36" s="1005">
        <f>K36^2-0.66</f>
        <v>-0.66</v>
      </c>
      <c r="O36" s="1013">
        <f>L36^2-0.66</f>
        <v>-0.66</v>
      </c>
      <c r="P36" s="1019" t="s">
        <v>7</v>
      </c>
      <c r="Q36" s="1011">
        <f>SUMSQ(E3:E38)-24*AVERAGE(E3:E38)^2</f>
        <v>184.23425925925915</v>
      </c>
      <c r="R36" s="1011">
        <f>36-1</f>
        <v>35</v>
      </c>
      <c r="S36" s="1011">
        <f>Q36/R36</f>
        <v>5.2638359788359752</v>
      </c>
      <c r="T36" s="1008" t="s">
        <v>370</v>
      </c>
      <c r="U36" s="1018">
        <f>Q34/Q36</f>
        <v>0.98897638754664563</v>
      </c>
    </row>
    <row r="37" spans="1:21">
      <c r="A37" s="1017">
        <v>35</v>
      </c>
      <c r="B37" s="1004">
        <v>2</v>
      </c>
      <c r="C37" s="1004">
        <v>7</v>
      </c>
      <c r="D37" s="1013" t="s">
        <v>2</v>
      </c>
      <c r="E37" s="1016">
        <v>3.7</v>
      </c>
      <c r="F37" s="1015">
        <f>F36</f>
        <v>3.5999999999999996</v>
      </c>
      <c r="G37" s="1015">
        <v>3.6371430028559764</v>
      </c>
      <c r="H37" s="1014">
        <v>0</v>
      </c>
      <c r="I37" s="1005">
        <v>0</v>
      </c>
      <c r="J37" s="1013">
        <v>1</v>
      </c>
      <c r="K37" s="1014">
        <f>(B37-2)</f>
        <v>0</v>
      </c>
      <c r="L37" s="1013">
        <f>(C37-7)</f>
        <v>0</v>
      </c>
      <c r="M37" s="1005">
        <f>K37*L37</f>
        <v>0</v>
      </c>
      <c r="N37" s="1005">
        <f>K37^2-0.66</f>
        <v>-0.66</v>
      </c>
      <c r="O37" s="1013">
        <f>L37^2-0.66</f>
        <v>-0.66</v>
      </c>
      <c r="P37" s="1005" t="s">
        <v>1</v>
      </c>
      <c r="Q37" s="1004">
        <f>Q35-Q38</f>
        <v>1.2334270747048777</v>
      </c>
      <c r="R37" s="1004">
        <f>R35-R38</f>
        <v>19</v>
      </c>
      <c r="S37" s="1004">
        <f>Q37/R37</f>
        <v>6.4917214458151462E-2</v>
      </c>
      <c r="T37" s="1004">
        <f>S37/S38</f>
        <v>0.73260806285059954</v>
      </c>
      <c r="U37" s="1004">
        <f>FDIST(T37,R37,R38)</f>
        <v>0.72951471591422901</v>
      </c>
    </row>
    <row r="38" spans="1:21">
      <c r="A38" s="1012">
        <v>36</v>
      </c>
      <c r="B38" s="1011">
        <v>2</v>
      </c>
      <c r="C38" s="1011">
        <v>7</v>
      </c>
      <c r="D38" s="1006" t="s">
        <v>2</v>
      </c>
      <c r="E38" s="1010">
        <v>3.5</v>
      </c>
      <c r="F38" s="1009">
        <f>F37</f>
        <v>3.5999999999999996</v>
      </c>
      <c r="G38" s="1009">
        <v>3.6371430028559764</v>
      </c>
      <c r="H38" s="1008">
        <v>0</v>
      </c>
      <c r="I38" s="1007">
        <v>0</v>
      </c>
      <c r="J38" s="1006">
        <v>1</v>
      </c>
      <c r="K38" s="1008">
        <f>(B38-2)</f>
        <v>0</v>
      </c>
      <c r="L38" s="1006">
        <f>(C38-7)</f>
        <v>0</v>
      </c>
      <c r="M38" s="1007">
        <f>K38*L38</f>
        <v>0</v>
      </c>
      <c r="N38" s="1007">
        <f>K38^2-0.66</f>
        <v>-0.66</v>
      </c>
      <c r="O38" s="1006">
        <f>L38^2-0.66</f>
        <v>-0.66</v>
      </c>
      <c r="Q38" s="1004">
        <f>SUMSQ(E3:E38)-SUMSQ(F3:F38)</f>
        <v>0.79750000000001364</v>
      </c>
      <c r="R38" s="1004">
        <v>9</v>
      </c>
      <c r="S38" s="1004">
        <f>Q38/R38</f>
        <v>8.8611111111112625E-2</v>
      </c>
      <c r="U38" s="1004">
        <f>SQRT(S38)</f>
        <v>0.29767618499153176</v>
      </c>
    </row>
  </sheetData>
  <mergeCells count="6">
    <mergeCell ref="P32:U32"/>
    <mergeCell ref="A1:E1"/>
    <mergeCell ref="H1:O1"/>
    <mergeCell ref="P1:X1"/>
    <mergeCell ref="P11:X11"/>
    <mergeCell ref="W26:X27"/>
  </mergeCells>
  <conditionalFormatting sqref="Q3:X10 V23:V30">
    <cfRule type="cellIs" dxfId="37" priority="2" operator="between">
      <formula>-0.0001</formula>
      <formula>0.0001</formula>
    </cfRule>
  </conditionalFormatting>
  <conditionalFormatting sqref="Q13:X20">
    <cfRule type="cellIs" dxfId="36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A5FA-98BA-4D2B-BF45-E47E4E5B7C3E}">
  <dimension ref="A1:R24"/>
  <sheetViews>
    <sheetView zoomScaleNormal="100" workbookViewId="0">
      <selection activeCell="B20" sqref="B20"/>
    </sheetView>
  </sheetViews>
  <sheetFormatPr defaultColWidth="6.875" defaultRowHeight="15.75"/>
  <cols>
    <col min="1" max="1" width="6.875" style="1" customWidth="1"/>
    <col min="2" max="2" width="6.875" style="485" customWidth="1"/>
    <col min="3" max="6" width="6.875" style="1" customWidth="1"/>
    <col min="7" max="8" width="6.875" style="1"/>
    <col min="9" max="12" width="6.875" style="1" customWidth="1"/>
    <col min="13" max="16384" width="6.875" style="1"/>
  </cols>
  <sheetData>
    <row r="1" spans="1:18">
      <c r="A1" s="567" t="s">
        <v>322</v>
      </c>
      <c r="B1" s="826"/>
      <c r="C1" s="826"/>
      <c r="D1" s="569"/>
      <c r="E1" s="931" t="s">
        <v>321</v>
      </c>
      <c r="F1" s="930"/>
      <c r="G1" s="567" t="s">
        <v>320</v>
      </c>
      <c r="H1" s="826"/>
      <c r="I1" s="826"/>
      <c r="J1" s="569"/>
      <c r="K1" s="931" t="s">
        <v>319</v>
      </c>
      <c r="L1" s="930"/>
      <c r="M1" s="567" t="s">
        <v>318</v>
      </c>
      <c r="N1" s="826"/>
      <c r="O1" s="826"/>
      <c r="P1" s="569"/>
      <c r="Q1" s="931" t="s">
        <v>317</v>
      </c>
      <c r="R1" s="930"/>
    </row>
    <row r="2" spans="1:18">
      <c r="A2" s="927" t="s">
        <v>316</v>
      </c>
      <c r="B2" s="929" t="s">
        <v>315</v>
      </c>
      <c r="C2" s="925" t="s">
        <v>219</v>
      </c>
      <c r="D2" s="924" t="s">
        <v>48</v>
      </c>
      <c r="E2" s="923"/>
      <c r="F2" s="922"/>
      <c r="G2" s="927" t="s">
        <v>316</v>
      </c>
      <c r="H2" s="928" t="s">
        <v>315</v>
      </c>
      <c r="I2" s="925" t="s">
        <v>219</v>
      </c>
      <c r="J2" s="924" t="s">
        <v>48</v>
      </c>
      <c r="K2" s="923"/>
      <c r="L2" s="922"/>
      <c r="M2" s="927" t="s">
        <v>316</v>
      </c>
      <c r="N2" s="926" t="s">
        <v>315</v>
      </c>
      <c r="O2" s="925" t="s">
        <v>219</v>
      </c>
      <c r="P2" s="924" t="s">
        <v>48</v>
      </c>
      <c r="Q2" s="923"/>
      <c r="R2" s="922"/>
    </row>
    <row r="3" spans="1:18">
      <c r="A3" s="921">
        <v>11</v>
      </c>
      <c r="B3" s="920">
        <v>3</v>
      </c>
      <c r="C3" s="919">
        <v>21.7</v>
      </c>
      <c r="D3" s="869">
        <f t="array" ref="D3:D9">MMULT(E3:F9,F16:F17)</f>
        <v>22.346428571428572</v>
      </c>
      <c r="E3" s="89">
        <v>1</v>
      </c>
      <c r="F3" s="475">
        <f>B3</f>
        <v>3</v>
      </c>
      <c r="G3" s="921">
        <v>11</v>
      </c>
      <c r="H3" s="920">
        <v>2</v>
      </c>
      <c r="I3" s="919">
        <v>21.7</v>
      </c>
      <c r="J3" s="869">
        <f t="array" ref="J3:J9">MMULT(K3:L9,L16:L17)</f>
        <v>31.014285714285712</v>
      </c>
      <c r="K3" s="87">
        <v>1</v>
      </c>
      <c r="L3" s="41">
        <v>2</v>
      </c>
      <c r="M3" s="921">
        <v>11</v>
      </c>
      <c r="N3" s="920">
        <v>3</v>
      </c>
      <c r="O3" s="919">
        <v>21.7</v>
      </c>
      <c r="P3" s="869">
        <f t="array" ref="P3:P9">MMULT(Q3:R9,R16:R17)</f>
        <v>22.346428571428572</v>
      </c>
      <c r="Q3" s="87">
        <v>1</v>
      </c>
      <c r="R3" s="41">
        <f>N3</f>
        <v>3</v>
      </c>
    </row>
    <row r="4" spans="1:18">
      <c r="A4" s="921">
        <v>13</v>
      </c>
      <c r="B4" s="920">
        <v>2</v>
      </c>
      <c r="C4" s="919">
        <v>25.6</v>
      </c>
      <c r="D4" s="869">
        <v>25.935714285714287</v>
      </c>
      <c r="E4" s="89">
        <v>1</v>
      </c>
      <c r="F4" s="475">
        <f>B4</f>
        <v>2</v>
      </c>
      <c r="G4" s="921">
        <v>13</v>
      </c>
      <c r="H4" s="920">
        <v>-1</v>
      </c>
      <c r="I4" s="919">
        <v>25.6</v>
      </c>
      <c r="J4" s="869">
        <v>34.164285714285711</v>
      </c>
      <c r="K4" s="89">
        <v>1</v>
      </c>
      <c r="L4" s="475">
        <v>-1</v>
      </c>
      <c r="M4" s="921">
        <v>13</v>
      </c>
      <c r="N4" s="920">
        <v>2</v>
      </c>
      <c r="O4" s="919">
        <v>25.6</v>
      </c>
      <c r="P4" s="869">
        <v>25.935714285714287</v>
      </c>
      <c r="Q4" s="89">
        <v>1</v>
      </c>
      <c r="R4" s="475">
        <f>N4</f>
        <v>2</v>
      </c>
    </row>
    <row r="5" spans="1:18">
      <c r="A5" s="921">
        <v>15</v>
      </c>
      <c r="B5" s="920">
        <v>1</v>
      </c>
      <c r="C5" s="919">
        <v>30</v>
      </c>
      <c r="D5" s="869">
        <v>29.524999999999999</v>
      </c>
      <c r="E5" s="89">
        <v>1</v>
      </c>
      <c r="F5" s="475">
        <f>B5</f>
        <v>1</v>
      </c>
      <c r="G5" s="921">
        <v>15</v>
      </c>
      <c r="H5" s="920">
        <v>1</v>
      </c>
      <c r="I5" s="919">
        <v>30</v>
      </c>
      <c r="J5" s="869">
        <v>32.064285714285717</v>
      </c>
      <c r="K5" s="89">
        <v>1</v>
      </c>
      <c r="L5" s="475">
        <v>1</v>
      </c>
      <c r="M5" s="921">
        <v>15</v>
      </c>
      <c r="N5" s="920">
        <v>1</v>
      </c>
      <c r="O5" s="919">
        <v>30</v>
      </c>
      <c r="P5" s="869">
        <v>29.524999999999999</v>
      </c>
      <c r="Q5" s="89">
        <v>1</v>
      </c>
      <c r="R5" s="475">
        <f>N5</f>
        <v>1</v>
      </c>
    </row>
    <row r="6" spans="1:18">
      <c r="A6" s="921">
        <v>17</v>
      </c>
      <c r="B6" s="920">
        <v>0</v>
      </c>
      <c r="C6" s="919">
        <v>33.799999999999997</v>
      </c>
      <c r="D6" s="869">
        <v>33.114285714285714</v>
      </c>
      <c r="E6" s="89">
        <v>1</v>
      </c>
      <c r="F6" s="475">
        <f>B6</f>
        <v>0</v>
      </c>
      <c r="G6" s="921">
        <v>17</v>
      </c>
      <c r="H6" s="920">
        <v>-2</v>
      </c>
      <c r="I6" s="919">
        <v>33.799999999999997</v>
      </c>
      <c r="J6" s="869">
        <v>35.214285714285715</v>
      </c>
      <c r="K6" s="89">
        <v>1</v>
      </c>
      <c r="L6" s="475">
        <v>-2</v>
      </c>
      <c r="M6" s="921">
        <v>17</v>
      </c>
      <c r="N6" s="920">
        <v>0</v>
      </c>
      <c r="O6" s="919">
        <v>33.799999999999997</v>
      </c>
      <c r="P6" s="869">
        <v>33.114285714285714</v>
      </c>
      <c r="Q6" s="89">
        <v>1</v>
      </c>
      <c r="R6" s="475">
        <f>N6</f>
        <v>0</v>
      </c>
    </row>
    <row r="7" spans="1:18">
      <c r="A7" s="921">
        <v>19</v>
      </c>
      <c r="B7" s="920">
        <v>-1</v>
      </c>
      <c r="C7" s="919">
        <v>37.700000000000003</v>
      </c>
      <c r="D7" s="869">
        <v>36.703571428571429</v>
      </c>
      <c r="E7" s="89">
        <v>1</v>
      </c>
      <c r="F7" s="475">
        <v>-1</v>
      </c>
      <c r="G7" s="921">
        <v>19</v>
      </c>
      <c r="H7" s="920">
        <v>0</v>
      </c>
      <c r="I7" s="919">
        <v>37.700000000000003</v>
      </c>
      <c r="J7" s="869">
        <v>33.114285714285714</v>
      </c>
      <c r="K7" s="89">
        <v>1</v>
      </c>
      <c r="L7" s="475">
        <v>0</v>
      </c>
      <c r="M7" s="921">
        <v>19</v>
      </c>
      <c r="N7" s="920">
        <v>-1</v>
      </c>
      <c r="O7" s="919">
        <v>37.700000000000003</v>
      </c>
      <c r="P7" s="869">
        <v>36.703571428571429</v>
      </c>
      <c r="Q7" s="89">
        <v>1</v>
      </c>
      <c r="R7" s="475">
        <v>-1</v>
      </c>
    </row>
    <row r="8" spans="1:18">
      <c r="A8" s="921">
        <v>20</v>
      </c>
      <c r="B8" s="920">
        <v>-2</v>
      </c>
      <c r="C8" s="919">
        <v>39.9</v>
      </c>
      <c r="D8" s="869">
        <v>40.292857142857144</v>
      </c>
      <c r="E8" s="89">
        <v>1</v>
      </c>
      <c r="F8" s="475">
        <v>-2</v>
      </c>
      <c r="G8" s="921">
        <v>20</v>
      </c>
      <c r="H8" s="920">
        <v>3</v>
      </c>
      <c r="I8" s="919">
        <v>39.9</v>
      </c>
      <c r="J8" s="869">
        <v>29.964285714285712</v>
      </c>
      <c r="K8" s="89">
        <v>1</v>
      </c>
      <c r="L8" s="475">
        <v>3</v>
      </c>
      <c r="M8" s="921">
        <v>20</v>
      </c>
      <c r="N8" s="920">
        <v>-2</v>
      </c>
      <c r="O8" s="919">
        <v>39.9</v>
      </c>
      <c r="P8" s="869">
        <v>40.292857142857144</v>
      </c>
      <c r="Q8" s="89">
        <v>1</v>
      </c>
      <c r="R8" s="475">
        <v>-2</v>
      </c>
    </row>
    <row r="9" spans="1:18">
      <c r="A9" s="918">
        <v>22</v>
      </c>
      <c r="B9" s="917">
        <v>-3</v>
      </c>
      <c r="C9" s="916">
        <v>43.1</v>
      </c>
      <c r="D9" s="915">
        <v>43.882142857142853</v>
      </c>
      <c r="E9" s="75">
        <v>1</v>
      </c>
      <c r="F9" s="97">
        <v>-3</v>
      </c>
      <c r="G9" s="918">
        <v>22</v>
      </c>
      <c r="H9" s="917">
        <v>-3</v>
      </c>
      <c r="I9" s="916">
        <v>43.1</v>
      </c>
      <c r="J9" s="915">
        <v>36.26428571428572</v>
      </c>
      <c r="K9" s="75">
        <v>1</v>
      </c>
      <c r="L9" s="97">
        <v>-3</v>
      </c>
      <c r="M9" s="918">
        <v>22</v>
      </c>
      <c r="N9" s="917">
        <v>-3</v>
      </c>
      <c r="O9" s="916">
        <v>43.1</v>
      </c>
      <c r="P9" s="915">
        <v>43.882142857142853</v>
      </c>
      <c r="Q9" s="75">
        <v>1</v>
      </c>
      <c r="R9" s="97">
        <v>-3</v>
      </c>
    </row>
    <row r="10" spans="1:18">
      <c r="A10" s="914" t="s">
        <v>314</v>
      </c>
      <c r="B10" s="913"/>
      <c r="C10" s="913"/>
      <c r="D10" s="913"/>
      <c r="E10" s="913"/>
      <c r="F10" s="912"/>
      <c r="G10" s="914" t="s">
        <v>313</v>
      </c>
      <c r="H10" s="913"/>
      <c r="I10" s="913"/>
      <c r="J10" s="913"/>
      <c r="K10" s="913"/>
      <c r="L10" s="912"/>
      <c r="M10" s="914" t="s">
        <v>312</v>
      </c>
      <c r="N10" s="913"/>
      <c r="O10" s="913"/>
      <c r="P10" s="913"/>
      <c r="Q10" s="913"/>
      <c r="R10" s="912"/>
    </row>
    <row r="11" spans="1:18">
      <c r="A11" s="68"/>
      <c r="B11" s="911" t="s">
        <v>30</v>
      </c>
      <c r="C11" s="454" t="s">
        <v>31</v>
      </c>
      <c r="D11" s="464" t="s">
        <v>32</v>
      </c>
      <c r="E11" s="524" t="s">
        <v>3</v>
      </c>
      <c r="F11" s="454" t="s">
        <v>33</v>
      </c>
      <c r="G11" s="68"/>
      <c r="H11" s="911" t="s">
        <v>30</v>
      </c>
      <c r="I11" s="454" t="s">
        <v>31</v>
      </c>
      <c r="J11" s="464" t="s">
        <v>32</v>
      </c>
      <c r="K11" s="524" t="s">
        <v>3</v>
      </c>
      <c r="L11" s="454" t="s">
        <v>33</v>
      </c>
      <c r="M11" s="68"/>
      <c r="N11" s="911" t="s">
        <v>30</v>
      </c>
      <c r="O11" s="454" t="s">
        <v>31</v>
      </c>
      <c r="P11" s="464" t="s">
        <v>32</v>
      </c>
      <c r="Q11" s="524" t="s">
        <v>3</v>
      </c>
      <c r="R11" s="454" t="s">
        <v>33</v>
      </c>
    </row>
    <row r="12" spans="1:18">
      <c r="A12" s="518" t="s">
        <v>5</v>
      </c>
      <c r="B12" s="910">
        <f>SUMSQ(D3:D9)-COUNT(E3:E9)*AVERAGE(C3:C9)^2</f>
        <v>360.72321428571468</v>
      </c>
      <c r="C12" s="80">
        <f>COUNT(E3:F3)-1</f>
        <v>1</v>
      </c>
      <c r="D12" s="88">
        <f>B12/C12</f>
        <v>360.72321428571468</v>
      </c>
      <c r="E12" s="74">
        <f>D12/D13</f>
        <v>604.15420504855558</v>
      </c>
      <c r="F12" s="80">
        <f>FDIST(E12,C12,C13)</f>
        <v>2.0785626266927459E-6</v>
      </c>
      <c r="G12" s="518" t="s">
        <v>5</v>
      </c>
      <c r="H12" s="910">
        <f>SUMSQ(J3:J9)-COUNT(K3:K9)*AVERAGE(I3:I9)^2</f>
        <v>30.869999999998981</v>
      </c>
      <c r="I12" s="80">
        <f>COUNT(K3:L3)-1</f>
        <v>1</v>
      </c>
      <c r="J12" s="88">
        <f>H12/I12</f>
        <v>30.869999999998981</v>
      </c>
      <c r="K12" s="74">
        <f>J12/J13</f>
        <v>0.46373832016376948</v>
      </c>
      <c r="L12" s="80">
        <f>FDIST(K12,I12,I13)</f>
        <v>0.52613470964808828</v>
      </c>
      <c r="M12" s="518" t="s">
        <v>5</v>
      </c>
      <c r="N12" s="910">
        <f>SUMSQ(P3:P9)-COUNT(Q3:Q9)*AVERAGE(O3:O9)^2</f>
        <v>360.72321428571468</v>
      </c>
      <c r="O12" s="80">
        <f>COUNT(Q3:R3)-1</f>
        <v>1</v>
      </c>
      <c r="P12" s="88">
        <f>N12/O12</f>
        <v>360.72321428571468</v>
      </c>
      <c r="Q12" s="74">
        <f>P12/P13</f>
        <v>604.15420504855558</v>
      </c>
      <c r="R12" s="80">
        <f>FDIST(Q12,O12,O13)</f>
        <v>2.0785626266927459E-6</v>
      </c>
    </row>
    <row r="13" spans="1:18">
      <c r="A13" s="515" t="s">
        <v>6</v>
      </c>
      <c r="B13" s="909">
        <f>SUMSQ(C3:C9)-SUMSQ(D3:D9)</f>
        <v>2.9853571428566283</v>
      </c>
      <c r="C13" s="77">
        <f>COUNT(E3:E9)-COUNT(E3:F3)</f>
        <v>5</v>
      </c>
      <c r="D13" s="77">
        <f>B13/C13</f>
        <v>0.59707142857132567</v>
      </c>
      <c r="E13" s="472" t="s">
        <v>262</v>
      </c>
      <c r="F13" s="80">
        <f>SQRT(D13)</f>
        <v>0.77270397214672426</v>
      </c>
      <c r="G13" s="515" t="s">
        <v>6</v>
      </c>
      <c r="H13" s="909">
        <f>SUMSQ(I3:I9)-SUMSQ(J3:J9)</f>
        <v>332.83857142857232</v>
      </c>
      <c r="I13" s="77">
        <f>COUNT(K3:K9)-COUNT(K3:L3)</f>
        <v>5</v>
      </c>
      <c r="J13" s="77">
        <f>H13/I13</f>
        <v>66.567714285714459</v>
      </c>
      <c r="K13" s="472" t="s">
        <v>262</v>
      </c>
      <c r="L13" s="80">
        <f>SQRT(J13)</f>
        <v>8.1589039880191301</v>
      </c>
      <c r="M13" s="515" t="s">
        <v>6</v>
      </c>
      <c r="N13" s="909">
        <f>SUMSQ(O3:O9)-SUMSQ(P3:P9)</f>
        <v>2.9853571428566283</v>
      </c>
      <c r="O13" s="77">
        <f>COUNT(Q3:Q9)-COUNT(Q3:R3)</f>
        <v>5</v>
      </c>
      <c r="P13" s="77">
        <f>N13/O13</f>
        <v>0.59707142857132567</v>
      </c>
      <c r="Q13" s="472" t="s">
        <v>262</v>
      </c>
      <c r="R13" s="80">
        <f>SQRT(P13)</f>
        <v>0.77270397214672426</v>
      </c>
    </row>
    <row r="14" spans="1:18" ht="18.75">
      <c r="A14" s="756" t="s">
        <v>7</v>
      </c>
      <c r="B14" s="909">
        <f>SUMSQ(C3:C9)-COUNT(C3:C9)*AVERAGE(C3:C9)^2</f>
        <v>363.7085714285713</v>
      </c>
      <c r="C14" s="77">
        <f>COUNT(E3:E9)-1</f>
        <v>6</v>
      </c>
      <c r="D14" s="76"/>
      <c r="E14" s="127" t="s">
        <v>261</v>
      </c>
      <c r="F14" s="77">
        <f>B12/B14</f>
        <v>0.9917918977517336</v>
      </c>
      <c r="G14" s="756" t="s">
        <v>7</v>
      </c>
      <c r="H14" s="909">
        <f>SUMSQ(I3:I9)-COUNT(I3:I9)*AVERAGE(I3:I9)^2</f>
        <v>363.7085714285713</v>
      </c>
      <c r="I14" s="77">
        <f>COUNT(K3:K9)-1</f>
        <v>6</v>
      </c>
      <c r="J14" s="76"/>
      <c r="K14" s="127" t="s">
        <v>261</v>
      </c>
      <c r="L14" s="77">
        <f>H12/H14</f>
        <v>8.4875646121695916E-2</v>
      </c>
      <c r="M14" s="756" t="s">
        <v>7</v>
      </c>
      <c r="N14" s="909">
        <f>SUMSQ(O3:O9)-COUNT(O3:O9)*AVERAGE(O3:O9)^2</f>
        <v>363.7085714285713</v>
      </c>
      <c r="O14" s="77">
        <f>COUNT(Q3:Q9)-1</f>
        <v>6</v>
      </c>
      <c r="P14" s="76"/>
      <c r="Q14" s="127" t="s">
        <v>261</v>
      </c>
      <c r="R14" s="77">
        <f>N12/N14</f>
        <v>0.9917918977517336</v>
      </c>
    </row>
    <row r="15" spans="1:18" customFormat="1" ht="18.75">
      <c r="A15" s="567" t="s">
        <v>35</v>
      </c>
      <c r="B15" s="569"/>
      <c r="C15" s="567" t="s">
        <v>40</v>
      </c>
      <c r="D15" s="569"/>
      <c r="E15" s="524" t="s">
        <v>34</v>
      </c>
      <c r="F15" s="524" t="s">
        <v>39</v>
      </c>
      <c r="G15" s="567" t="s">
        <v>35</v>
      </c>
      <c r="H15" s="825"/>
      <c r="I15" s="567" t="s">
        <v>40</v>
      </c>
      <c r="J15" s="825"/>
      <c r="K15" s="524" t="s">
        <v>34</v>
      </c>
      <c r="L15" s="524" t="s">
        <v>39</v>
      </c>
      <c r="M15" s="782" t="s">
        <v>35</v>
      </c>
      <c r="N15" s="908"/>
      <c r="O15" s="567" t="s">
        <v>40</v>
      </c>
      <c r="P15" s="569"/>
      <c r="Q15" s="524" t="s">
        <v>34</v>
      </c>
      <c r="R15" s="524" t="s">
        <v>39</v>
      </c>
    </row>
    <row r="16" spans="1:18" customFormat="1">
      <c r="A16" s="907">
        <f t="array" ref="A16:B17">MMULT(TRANSPOSE(E3:F9),E3:F9)</f>
        <v>7</v>
      </c>
      <c r="B16" s="906">
        <v>0</v>
      </c>
      <c r="C16" s="89">
        <f t="array" ref="C16:D17">MINVERSE(A16:B17)</f>
        <v>0.14285714285714285</v>
      </c>
      <c r="D16" s="475">
        <v>0</v>
      </c>
      <c r="E16" s="118">
        <f t="array" ref="E16:E17">MMULT(TRANSPOSE(E3:F9),C3:C9)</f>
        <v>231.8</v>
      </c>
      <c r="F16" s="118">
        <f t="array" ref="F16:F17">MMULT(C16:D17,E16:E17)</f>
        <v>33.114285714285714</v>
      </c>
      <c r="G16" s="907">
        <f t="array" ref="G16:H17">MMULT(TRANSPOSE(K3:L9),K3:L9)</f>
        <v>7</v>
      </c>
      <c r="H16" s="906">
        <v>0</v>
      </c>
      <c r="I16" s="89">
        <f t="array" ref="I16:J17">MINVERSE(G16:H17)</f>
        <v>0.14285714285714285</v>
      </c>
      <c r="J16" s="475">
        <v>0</v>
      </c>
      <c r="K16" s="118">
        <f t="array" ref="K16:K17">MMULT(TRANSPOSE(K3:L9),I3:I9)</f>
        <v>231.8</v>
      </c>
      <c r="L16" s="118">
        <f t="array" ref="L16:L17">MMULT(I16:J17,K16:K17)</f>
        <v>33.114285714285714</v>
      </c>
      <c r="M16" s="81">
        <f t="array" ref="M16:N17">MMULT(TRANSPOSE(Q3:R9),Q3:R9)</f>
        <v>7</v>
      </c>
      <c r="N16" s="80">
        <v>0</v>
      </c>
      <c r="O16" s="89">
        <f t="array" ref="O16:P17">MINVERSE(M16:N17)</f>
        <v>0.14285714285714285</v>
      </c>
      <c r="P16" s="475">
        <v>0</v>
      </c>
      <c r="Q16" s="118">
        <f t="array" ref="Q16:Q17">MMULT(TRANSPOSE(Q3:R9),O3:O9)</f>
        <v>231.8</v>
      </c>
      <c r="R16" s="118">
        <f t="array" ref="R16:R17">MMULT(O16:P17,Q16:Q17)</f>
        <v>33.114285714285714</v>
      </c>
    </row>
    <row r="17" spans="1:18" customFormat="1">
      <c r="A17" s="905">
        <v>0</v>
      </c>
      <c r="B17" s="904">
        <v>28</v>
      </c>
      <c r="C17" s="75">
        <v>0</v>
      </c>
      <c r="D17" s="97">
        <v>3.5714285714285712E-2</v>
      </c>
      <c r="E17" s="92">
        <v>-100.5</v>
      </c>
      <c r="F17" s="92">
        <v>-3.589285714285714</v>
      </c>
      <c r="G17" s="905">
        <v>0</v>
      </c>
      <c r="H17" s="904">
        <v>28</v>
      </c>
      <c r="I17" s="75">
        <v>0</v>
      </c>
      <c r="J17" s="97">
        <v>3.5714285714285712E-2</v>
      </c>
      <c r="K17" s="92">
        <v>-29.40000000000002</v>
      </c>
      <c r="L17" s="92">
        <v>-1.0500000000000007</v>
      </c>
      <c r="M17" s="106">
        <v>0</v>
      </c>
      <c r="N17" s="77">
        <v>28</v>
      </c>
      <c r="O17" s="75">
        <v>0</v>
      </c>
      <c r="P17" s="97">
        <v>3.5714285714285712E-2</v>
      </c>
      <c r="Q17" s="92">
        <v>-100.5</v>
      </c>
      <c r="R17" s="92">
        <v>-3.589285714285714</v>
      </c>
    </row>
    <row r="18" spans="1:18" customFormat="1">
      <c r="A18" s="1"/>
      <c r="B18" s="485"/>
    </row>
    <row r="19" spans="1:18" customFormat="1">
      <c r="A19" s="1"/>
      <c r="B19" s="485"/>
    </row>
    <row r="20" spans="1:18" customFormat="1">
      <c r="A20" s="1"/>
      <c r="B20" s="485"/>
    </row>
    <row r="21" spans="1:18" customFormat="1">
      <c r="A21" s="1"/>
      <c r="B21" s="485"/>
    </row>
    <row r="22" spans="1:18" customFormat="1">
      <c r="A22" s="1"/>
      <c r="B22" s="485"/>
    </row>
    <row r="23" spans="1:18" customFormat="1">
      <c r="A23" s="1"/>
      <c r="B23" s="485"/>
    </row>
    <row r="24" spans="1:18" customFormat="1"/>
  </sheetData>
  <mergeCells count="15">
    <mergeCell ref="K1:L2"/>
    <mergeCell ref="Q1:R2"/>
    <mergeCell ref="M1:P1"/>
    <mergeCell ref="M15:N15"/>
    <mergeCell ref="O15:P15"/>
    <mergeCell ref="A10:F10"/>
    <mergeCell ref="G10:L10"/>
    <mergeCell ref="M10:R10"/>
    <mergeCell ref="E1:F2"/>
    <mergeCell ref="C15:D15"/>
    <mergeCell ref="A15:B15"/>
    <mergeCell ref="G15:H15"/>
    <mergeCell ref="I15:J15"/>
    <mergeCell ref="A1:D1"/>
    <mergeCell ref="G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849A-2BCF-495B-BF5B-EB97EAF80F88}">
  <dimension ref="A1:U20"/>
  <sheetViews>
    <sheetView zoomScaleNormal="100" workbookViewId="0">
      <selection activeCell="B19" sqref="B19"/>
    </sheetView>
  </sheetViews>
  <sheetFormatPr defaultColWidth="6.875" defaultRowHeight="15.75"/>
  <cols>
    <col min="1" max="6" width="4.875" style="1" customWidth="1"/>
    <col min="7" max="7" width="5.875" style="1" customWidth="1"/>
    <col min="8" max="13" width="4.875" style="1" customWidth="1"/>
    <col min="14" max="14" width="5.875" style="1" customWidth="1"/>
    <col min="15" max="15" width="4.875" style="1" customWidth="1"/>
    <col min="16" max="16" width="6.875" style="1" customWidth="1"/>
    <col min="17" max="17" width="3.875" style="1" customWidth="1"/>
    <col min="18" max="19" width="6.875" style="1" customWidth="1"/>
    <col min="20" max="20" width="6.875" style="1"/>
    <col min="22" max="16384" width="6.875" style="1"/>
  </cols>
  <sheetData>
    <row r="1" spans="1:20">
      <c r="A1"/>
      <c r="B1"/>
      <c r="C1"/>
      <c r="D1"/>
      <c r="E1"/>
      <c r="F1"/>
      <c r="G1"/>
      <c r="H1"/>
      <c r="I1"/>
      <c r="J1" s="865" t="s">
        <v>311</v>
      </c>
      <c r="K1" s="864"/>
      <c r="L1" s="864"/>
      <c r="M1" s="864"/>
      <c r="N1" s="864"/>
      <c r="O1" s="864"/>
      <c r="P1" s="864"/>
      <c r="Q1" s="864"/>
      <c r="R1" s="864"/>
      <c r="S1" s="864"/>
      <c r="T1" s="903"/>
    </row>
    <row r="2" spans="1:20" ht="18.75">
      <c r="A2" s="898" t="s">
        <v>310</v>
      </c>
      <c r="B2" s="902"/>
      <c r="C2" s="901" t="s">
        <v>106</v>
      </c>
      <c r="D2" s="900"/>
      <c r="E2" s="899"/>
      <c r="F2" s="898" t="s">
        <v>309</v>
      </c>
      <c r="G2" s="897" t="s">
        <v>308</v>
      </c>
      <c r="H2" s="896" t="s">
        <v>307</v>
      </c>
      <c r="I2" s="895" t="s">
        <v>306</v>
      </c>
      <c r="J2" s="884" t="s">
        <v>305</v>
      </c>
      <c r="K2" s="883"/>
      <c r="L2" s="883"/>
      <c r="M2" s="882"/>
      <c r="N2" s="756" t="s">
        <v>34</v>
      </c>
      <c r="O2" s="756" t="s">
        <v>47</v>
      </c>
      <c r="P2" s="2" t="s">
        <v>30</v>
      </c>
      <c r="Q2" s="796" t="s">
        <v>31</v>
      </c>
      <c r="R2" s="807" t="s">
        <v>32</v>
      </c>
      <c r="S2" s="807" t="s">
        <v>3</v>
      </c>
      <c r="T2" s="796" t="s">
        <v>33</v>
      </c>
    </row>
    <row r="3" spans="1:20">
      <c r="A3" s="891"/>
      <c r="B3" s="472">
        <v>0</v>
      </c>
      <c r="C3" s="894" t="s">
        <v>304</v>
      </c>
      <c r="D3" s="893" t="s">
        <v>66</v>
      </c>
      <c r="E3" s="892" t="s">
        <v>256</v>
      </c>
      <c r="F3" s="891"/>
      <c r="G3" s="890"/>
      <c r="H3" s="889"/>
      <c r="I3" s="888"/>
      <c r="J3" s="81">
        <f t="array" ref="J3:M6">MMULT(TRANSPOSE(B4:E11),B4:E11)</f>
        <v>8</v>
      </c>
      <c r="K3" s="88">
        <v>0</v>
      </c>
      <c r="L3" s="88">
        <v>0</v>
      </c>
      <c r="M3" s="80">
        <v>0</v>
      </c>
      <c r="N3" s="120">
        <f t="array" ref="N3:N6">MMULT(TRANSPOSE(B4:E11),G4:G11)</f>
        <v>161</v>
      </c>
      <c r="O3" s="518">
        <v>1</v>
      </c>
      <c r="P3" s="886">
        <f>N4*N9</f>
        <v>105.125</v>
      </c>
      <c r="Q3" s="41">
        <v>1</v>
      </c>
      <c r="R3" s="885">
        <f>P3/Q3</f>
        <v>105.125</v>
      </c>
      <c r="S3" s="885">
        <f>R3/R$7</f>
        <v>13.78688524590164</v>
      </c>
      <c r="T3" s="767">
        <f>FDIST(S3,Q3,Q$6)</f>
        <v>3.3969357709358904E-2</v>
      </c>
    </row>
    <row r="4" spans="1:20">
      <c r="A4" s="880">
        <v>1</v>
      </c>
      <c r="B4" s="40">
        <v>1</v>
      </c>
      <c r="C4" s="87">
        <v>-1</v>
      </c>
      <c r="D4" s="40">
        <v>-1</v>
      </c>
      <c r="E4" s="41">
        <v>1</v>
      </c>
      <c r="F4" s="41">
        <v>1</v>
      </c>
      <c r="G4" s="871">
        <v>18</v>
      </c>
      <c r="H4" s="870">
        <f t="array" ref="H4:H11">MMULT(B4:E11,N8:N11)</f>
        <v>16.75</v>
      </c>
      <c r="I4" s="869">
        <f t="array" ref="I4:I11">MMULT(B4:F11,N14:N18)</f>
        <v>18.625</v>
      </c>
      <c r="J4" s="455">
        <v>0</v>
      </c>
      <c r="K4" s="1">
        <v>8</v>
      </c>
      <c r="L4" s="1">
        <v>0</v>
      </c>
      <c r="M4" s="90">
        <v>0</v>
      </c>
      <c r="N4" s="744">
        <v>29</v>
      </c>
      <c r="O4" s="515">
        <v>2</v>
      </c>
      <c r="P4" s="455">
        <f>N5*N10</f>
        <v>66.125</v>
      </c>
      <c r="Q4" s="475">
        <v>1</v>
      </c>
      <c r="R4" s="850">
        <f>P4/Q4</f>
        <v>66.125</v>
      </c>
      <c r="S4" s="850">
        <f>R4/R$7</f>
        <v>8.6721311475409841</v>
      </c>
      <c r="T4" s="776">
        <f>FDIST(S4,Q4,Q$6)</f>
        <v>6.02741823248331E-2</v>
      </c>
    </row>
    <row r="5" spans="1:20">
      <c r="A5" s="872">
        <v>2</v>
      </c>
      <c r="B5" s="94">
        <v>1</v>
      </c>
      <c r="C5" s="89">
        <v>1</v>
      </c>
      <c r="D5" s="94">
        <v>1</v>
      </c>
      <c r="E5" s="475">
        <v>1</v>
      </c>
      <c r="F5" s="475">
        <v>1</v>
      </c>
      <c r="G5" s="871">
        <v>20</v>
      </c>
      <c r="H5" s="870">
        <v>18.25</v>
      </c>
      <c r="I5" s="869">
        <v>20.125</v>
      </c>
      <c r="J5" s="455">
        <v>0</v>
      </c>
      <c r="K5" s="1">
        <v>0</v>
      </c>
      <c r="L5" s="1">
        <v>8</v>
      </c>
      <c r="M5" s="90">
        <v>0</v>
      </c>
      <c r="N5" s="744">
        <v>-23</v>
      </c>
      <c r="O5" s="513">
        <v>3</v>
      </c>
      <c r="P5" s="106">
        <f>N6*N11</f>
        <v>55.125</v>
      </c>
      <c r="Q5" s="97">
        <v>1</v>
      </c>
      <c r="R5" s="887">
        <f>P5/Q5</f>
        <v>55.125</v>
      </c>
      <c r="S5" s="887">
        <f>R5/R$7</f>
        <v>7.2295081967213113</v>
      </c>
      <c r="T5" s="763">
        <f>FDIST(S5,Q5,Q$6)</f>
        <v>7.4491591699461512E-2</v>
      </c>
    </row>
    <row r="6" spans="1:20">
      <c r="A6" s="872">
        <v>3</v>
      </c>
      <c r="B6" s="94">
        <v>1</v>
      </c>
      <c r="C6" s="89">
        <v>-1</v>
      </c>
      <c r="D6" s="94">
        <v>1</v>
      </c>
      <c r="E6" s="475">
        <v>-1</v>
      </c>
      <c r="F6" s="475">
        <v>1</v>
      </c>
      <c r="G6" s="871">
        <v>18</v>
      </c>
      <c r="H6" s="870">
        <v>16.25</v>
      </c>
      <c r="I6" s="869">
        <v>18.125</v>
      </c>
      <c r="J6" s="106">
        <v>0</v>
      </c>
      <c r="K6" s="76">
        <v>0</v>
      </c>
      <c r="L6" s="76">
        <v>0</v>
      </c>
      <c r="M6" s="77">
        <v>8</v>
      </c>
      <c r="N6" s="743">
        <v>-21</v>
      </c>
      <c r="O6" s="518" t="s">
        <v>5</v>
      </c>
      <c r="P6" s="886">
        <f>SUMSQ(H4:H11)-8*N8^2</f>
        <v>226.375</v>
      </c>
      <c r="Q6" s="41">
        <f>4-1</f>
        <v>3</v>
      </c>
      <c r="R6" s="885">
        <f>P6/Q6</f>
        <v>75.458333333333329</v>
      </c>
      <c r="S6" s="885">
        <f>R6/R7</f>
        <v>9.8961748633879782</v>
      </c>
      <c r="T6" s="767">
        <f>FDIST(S6,Q6,Q7)</f>
        <v>2.5362988852438564E-2</v>
      </c>
    </row>
    <row r="7" spans="1:20" ht="18.75">
      <c r="A7" s="872">
        <v>4</v>
      </c>
      <c r="B7" s="96">
        <v>1</v>
      </c>
      <c r="C7" s="75">
        <v>1</v>
      </c>
      <c r="D7" s="96">
        <v>-1</v>
      </c>
      <c r="E7" s="97">
        <v>-1</v>
      </c>
      <c r="F7" s="97">
        <v>1</v>
      </c>
      <c r="G7" s="871">
        <v>32</v>
      </c>
      <c r="H7" s="870">
        <v>29.25</v>
      </c>
      <c r="I7" s="869">
        <v>31.125</v>
      </c>
      <c r="J7" s="884" t="s">
        <v>303</v>
      </c>
      <c r="K7" s="883"/>
      <c r="L7" s="883"/>
      <c r="M7" s="882"/>
      <c r="N7" s="513" t="s">
        <v>39</v>
      </c>
      <c r="O7" s="513" t="s">
        <v>6</v>
      </c>
      <c r="P7" s="881">
        <f>SUMSQ(G4:G11)-SUMSQ(H4:H11)</f>
        <v>30.5</v>
      </c>
      <c r="Q7" s="97">
        <f>8-4</f>
        <v>4</v>
      </c>
      <c r="R7" s="850">
        <f>P7/Q7</f>
        <v>7.625</v>
      </c>
      <c r="S7" s="129" t="s">
        <v>262</v>
      </c>
      <c r="T7" s="849">
        <f>SQRT(R7)</f>
        <v>2.7613402542968153</v>
      </c>
    </row>
    <row r="8" spans="1:20" ht="18.75">
      <c r="A8" s="880">
        <v>5</v>
      </c>
      <c r="B8" s="40">
        <v>1</v>
      </c>
      <c r="C8" s="87">
        <v>1</v>
      </c>
      <c r="D8" s="40">
        <v>1</v>
      </c>
      <c r="E8" s="41">
        <v>-1</v>
      </c>
      <c r="F8" s="41">
        <v>-1</v>
      </c>
      <c r="G8" s="879">
        <v>21</v>
      </c>
      <c r="H8" s="878">
        <v>23.5</v>
      </c>
      <c r="I8" s="877">
        <v>21.625</v>
      </c>
      <c r="J8" s="876">
        <f t="array" ref="J8:M11">MINVERSE(J3:M6)</f>
        <v>0.125</v>
      </c>
      <c r="K8" s="875">
        <v>0</v>
      </c>
      <c r="L8" s="875">
        <v>0</v>
      </c>
      <c r="M8" s="874">
        <v>0</v>
      </c>
      <c r="N8" s="852">
        <f t="array" ref="N8:N11">MMULT(J8:M11,N3:N6)</f>
        <v>20.125</v>
      </c>
      <c r="O8" s="756" t="s">
        <v>7</v>
      </c>
      <c r="P8" s="873">
        <f>SUMSQ(G4:G11)-8*N8^2</f>
        <v>256.875</v>
      </c>
      <c r="Q8" s="474">
        <f>8-1</f>
        <v>7</v>
      </c>
      <c r="R8" s="847"/>
      <c r="S8" s="127" t="s">
        <v>46</v>
      </c>
      <c r="T8" s="763">
        <f>P6/P8</f>
        <v>0.88126520681265208</v>
      </c>
    </row>
    <row r="9" spans="1:20">
      <c r="A9" s="872">
        <v>6</v>
      </c>
      <c r="B9" s="94">
        <v>1</v>
      </c>
      <c r="C9" s="89">
        <v>-1</v>
      </c>
      <c r="D9" s="94">
        <v>-1</v>
      </c>
      <c r="E9" s="475">
        <v>-1</v>
      </c>
      <c r="F9" s="475">
        <v>-1</v>
      </c>
      <c r="G9" s="871">
        <v>20</v>
      </c>
      <c r="H9" s="870">
        <v>22</v>
      </c>
      <c r="I9" s="869">
        <v>20.125</v>
      </c>
      <c r="J9" s="868">
        <v>0</v>
      </c>
      <c r="K9" s="867">
        <v>0.125</v>
      </c>
      <c r="L9" s="867">
        <v>0</v>
      </c>
      <c r="M9" s="866">
        <v>0</v>
      </c>
      <c r="N9" s="855">
        <v>3.625</v>
      </c>
    </row>
    <row r="10" spans="1:20">
      <c r="A10" s="872">
        <v>7</v>
      </c>
      <c r="B10" s="94">
        <v>1</v>
      </c>
      <c r="C10" s="89">
        <v>1</v>
      </c>
      <c r="D10" s="94">
        <v>-1</v>
      </c>
      <c r="E10" s="475">
        <v>1</v>
      </c>
      <c r="F10" s="475">
        <v>-1</v>
      </c>
      <c r="G10" s="871">
        <v>22</v>
      </c>
      <c r="H10" s="870">
        <v>24</v>
      </c>
      <c r="I10" s="869">
        <v>22.125</v>
      </c>
      <c r="J10" s="868">
        <v>0</v>
      </c>
      <c r="K10" s="867">
        <v>0</v>
      </c>
      <c r="L10" s="867">
        <v>0.125</v>
      </c>
      <c r="M10" s="866">
        <v>0</v>
      </c>
      <c r="N10" s="855">
        <v>-2.875</v>
      </c>
      <c r="T10" s="850"/>
    </row>
    <row r="11" spans="1:20">
      <c r="A11" s="872">
        <v>8</v>
      </c>
      <c r="B11" s="94">
        <v>1</v>
      </c>
      <c r="C11" s="89">
        <v>-1</v>
      </c>
      <c r="D11" s="94">
        <v>1</v>
      </c>
      <c r="E11" s="475">
        <v>1</v>
      </c>
      <c r="F11" s="475">
        <v>-1</v>
      </c>
      <c r="G11" s="871">
        <v>10</v>
      </c>
      <c r="H11" s="870">
        <v>11</v>
      </c>
      <c r="I11" s="869">
        <v>9.125</v>
      </c>
      <c r="J11" s="868">
        <v>0</v>
      </c>
      <c r="K11" s="867">
        <v>0</v>
      </c>
      <c r="L11" s="867">
        <v>0</v>
      </c>
      <c r="M11" s="866">
        <v>0.125</v>
      </c>
      <c r="N11" s="855">
        <v>-2.625</v>
      </c>
      <c r="T11" s="850"/>
    </row>
    <row r="12" spans="1:20">
      <c r="A12" s="865" t="s">
        <v>302</v>
      </c>
      <c r="B12" s="864"/>
      <c r="C12" s="864"/>
      <c r="D12" s="864"/>
      <c r="E12" s="864"/>
      <c r="F12" s="864"/>
      <c r="G12" s="864"/>
      <c r="H12" s="864"/>
      <c r="I12" s="864"/>
      <c r="J12" s="864"/>
      <c r="K12" s="864"/>
      <c r="L12" s="863"/>
      <c r="M12" s="863"/>
      <c r="N12" s="863"/>
      <c r="O12" s="863"/>
      <c r="P12" s="863"/>
      <c r="Q12" s="863"/>
      <c r="R12" s="863"/>
      <c r="S12" s="863"/>
      <c r="T12" s="584"/>
    </row>
    <row r="13" spans="1:20" ht="18.75">
      <c r="B13" s="862" t="s">
        <v>301</v>
      </c>
      <c r="C13" s="861"/>
      <c r="D13" s="861"/>
      <c r="E13" s="861"/>
      <c r="F13" s="860"/>
      <c r="G13" s="513" t="s">
        <v>34</v>
      </c>
      <c r="I13" s="862" t="s">
        <v>300</v>
      </c>
      <c r="J13" s="861"/>
      <c r="K13" s="861"/>
      <c r="L13" s="861"/>
      <c r="M13" s="860"/>
      <c r="N13" s="513" t="s">
        <v>39</v>
      </c>
      <c r="O13" s="513" t="s">
        <v>47</v>
      </c>
      <c r="P13" s="127" t="s">
        <v>30</v>
      </c>
      <c r="Q13" s="794" t="s">
        <v>31</v>
      </c>
      <c r="R13" s="859" t="s">
        <v>32</v>
      </c>
      <c r="S13" s="859" t="s">
        <v>3</v>
      </c>
      <c r="T13" s="794" t="s">
        <v>33</v>
      </c>
    </row>
    <row r="14" spans="1:20">
      <c r="B14" s="81">
        <f t="array" ref="B14:F18">MMULT(TRANSPOSE(B4:F11),B4:F11)</f>
        <v>8</v>
      </c>
      <c r="C14" s="88">
        <v>0</v>
      </c>
      <c r="D14" s="88">
        <v>0</v>
      </c>
      <c r="E14" s="88">
        <v>0</v>
      </c>
      <c r="F14" s="80">
        <v>0</v>
      </c>
      <c r="G14" s="120">
        <f t="array" ref="G14:G18">MMULT(TRANSPOSE(B4:F11),G4:G11)</f>
        <v>161</v>
      </c>
      <c r="I14" s="81">
        <f t="array" ref="I14:M18">MINVERSE(B14:F18)</f>
        <v>0.125</v>
      </c>
      <c r="J14" s="88">
        <v>0</v>
      </c>
      <c r="K14" s="88">
        <v>0</v>
      </c>
      <c r="L14" s="88">
        <v>0</v>
      </c>
      <c r="M14" s="80">
        <v>0</v>
      </c>
      <c r="N14" s="852">
        <f t="array" ref="N14:N18">MMULT(I14:M18,G14:G18)</f>
        <v>20.125</v>
      </c>
      <c r="O14" s="515">
        <v>1</v>
      </c>
      <c r="P14" s="858">
        <f>G15*N15</f>
        <v>105.125</v>
      </c>
      <c r="Q14" s="475">
        <v>1</v>
      </c>
      <c r="R14" s="857">
        <f>P14/Q14</f>
        <v>105.125</v>
      </c>
      <c r="S14" s="850">
        <f>R14/R$19</f>
        <v>177.05263157894737</v>
      </c>
      <c r="T14" s="90">
        <f>FDIST(S14,Q14,Q$18)</f>
        <v>9.1739518639730752E-4</v>
      </c>
    </row>
    <row r="15" spans="1:20">
      <c r="B15" s="455">
        <v>0</v>
      </c>
      <c r="C15" s="1">
        <v>8</v>
      </c>
      <c r="D15" s="1">
        <v>0</v>
      </c>
      <c r="E15" s="1">
        <v>0</v>
      </c>
      <c r="F15" s="90">
        <v>0</v>
      </c>
      <c r="G15" s="744">
        <v>29</v>
      </c>
      <c r="I15" s="455">
        <v>0</v>
      </c>
      <c r="J15" s="1">
        <v>0.125</v>
      </c>
      <c r="K15" s="1">
        <v>0</v>
      </c>
      <c r="L15" s="1">
        <v>0</v>
      </c>
      <c r="M15" s="90">
        <v>0</v>
      </c>
      <c r="N15" s="855">
        <v>3.625</v>
      </c>
      <c r="O15" s="515">
        <v>2</v>
      </c>
      <c r="P15" s="856">
        <f>G16*N16</f>
        <v>66.125</v>
      </c>
      <c r="Q15" s="475">
        <v>1</v>
      </c>
      <c r="R15" s="850">
        <f>P15/Q15</f>
        <v>66.125</v>
      </c>
      <c r="S15" s="850">
        <f>R15/R$19</f>
        <v>111.36842105263158</v>
      </c>
      <c r="T15" s="90">
        <f>FDIST(S15,Q15,Q$18)</f>
        <v>1.8174574413953614E-3</v>
      </c>
    </row>
    <row r="16" spans="1:20">
      <c r="B16" s="455">
        <v>0</v>
      </c>
      <c r="C16" s="1">
        <v>0</v>
      </c>
      <c r="D16" s="1">
        <v>8</v>
      </c>
      <c r="E16" s="1">
        <v>0</v>
      </c>
      <c r="F16" s="90">
        <v>0</v>
      </c>
      <c r="G16" s="744">
        <v>-23</v>
      </c>
      <c r="I16" s="455">
        <v>0</v>
      </c>
      <c r="J16" s="1">
        <v>0</v>
      </c>
      <c r="K16" s="1">
        <v>0.125</v>
      </c>
      <c r="L16" s="1">
        <v>0</v>
      </c>
      <c r="M16" s="90">
        <v>0</v>
      </c>
      <c r="N16" s="855">
        <v>-2.875</v>
      </c>
      <c r="O16" s="515">
        <v>3</v>
      </c>
      <c r="P16" s="856">
        <f>G17*N17</f>
        <v>55.125</v>
      </c>
      <c r="Q16" s="475">
        <v>1</v>
      </c>
      <c r="R16" s="850">
        <f>P16/Q16</f>
        <v>55.125</v>
      </c>
      <c r="S16" s="850">
        <f>R16/R$19</f>
        <v>92.84210526315789</v>
      </c>
      <c r="T16" s="90">
        <f>FDIST(S16,Q16,Q$18)</f>
        <v>2.3728187668141366E-3</v>
      </c>
    </row>
    <row r="17" spans="1:20">
      <c r="B17" s="455">
        <v>0</v>
      </c>
      <c r="C17" s="1">
        <v>0</v>
      </c>
      <c r="D17" s="1">
        <v>0</v>
      </c>
      <c r="E17" s="1">
        <v>8</v>
      </c>
      <c r="F17" s="90">
        <v>0</v>
      </c>
      <c r="G17" s="744">
        <v>-21</v>
      </c>
      <c r="I17" s="455">
        <v>0</v>
      </c>
      <c r="J17" s="1">
        <v>0</v>
      </c>
      <c r="K17" s="1">
        <v>0</v>
      </c>
      <c r="L17" s="1">
        <v>0.125</v>
      </c>
      <c r="M17" s="90">
        <v>0</v>
      </c>
      <c r="N17" s="855">
        <v>-2.625</v>
      </c>
      <c r="O17" s="756" t="s">
        <v>1</v>
      </c>
      <c r="P17" s="854">
        <f>G18*N18</f>
        <v>28.125</v>
      </c>
      <c r="Q17" s="474">
        <v>1</v>
      </c>
      <c r="R17" s="853">
        <f>P17/Q17</f>
        <v>28.125</v>
      </c>
      <c r="S17" s="853">
        <f>R17/R$19</f>
        <v>47.368421052631582</v>
      </c>
      <c r="T17" s="93">
        <f>FDIST(S17,Q17,Q$18)</f>
        <v>6.2831560252952839E-3</v>
      </c>
    </row>
    <row r="18" spans="1:20">
      <c r="B18" s="106">
        <v>0</v>
      </c>
      <c r="C18" s="76">
        <v>0</v>
      </c>
      <c r="D18" s="76">
        <v>0</v>
      </c>
      <c r="E18" s="76">
        <v>0</v>
      </c>
      <c r="F18" s="77">
        <v>8</v>
      </c>
      <c r="G18" s="743">
        <v>15</v>
      </c>
      <c r="I18" s="106">
        <v>0</v>
      </c>
      <c r="J18" s="76">
        <v>0</v>
      </c>
      <c r="K18" s="76">
        <v>0</v>
      </c>
      <c r="L18" s="76">
        <v>0</v>
      </c>
      <c r="M18" s="77">
        <v>0.125</v>
      </c>
      <c r="N18" s="851">
        <v>1.875</v>
      </c>
      <c r="O18" s="515" t="s">
        <v>5</v>
      </c>
      <c r="P18" s="852">
        <f>SUMSQ(I4:I11)-8*N14^2</f>
        <v>254.5</v>
      </c>
      <c r="Q18" s="475">
        <f>4-1</f>
        <v>3</v>
      </c>
      <c r="R18" s="850">
        <f>P18/Q18</f>
        <v>84.833333333333329</v>
      </c>
      <c r="S18" s="850">
        <f>R18/R19</f>
        <v>142.87719298245614</v>
      </c>
      <c r="T18" s="90">
        <f>FDIST(S18,Q18,Q19)</f>
        <v>1.597871903761036E-4</v>
      </c>
    </row>
    <row r="19" spans="1:20">
      <c r="A19"/>
      <c r="B19"/>
      <c r="C19"/>
      <c r="D19"/>
      <c r="E19"/>
      <c r="F19"/>
      <c r="O19" s="513" t="s">
        <v>6</v>
      </c>
      <c r="P19" s="851">
        <f>SUMSQ(G4:G11)-SUMSQ(I4:I11)</f>
        <v>2.375</v>
      </c>
      <c r="Q19" s="97">
        <f>8-4</f>
        <v>4</v>
      </c>
      <c r="R19" s="850">
        <f>P19/Q19</f>
        <v>0.59375</v>
      </c>
      <c r="S19" s="129" t="s">
        <v>262</v>
      </c>
      <c r="T19" s="849">
        <f>SQRT(R19)</f>
        <v>0.770551750371122</v>
      </c>
    </row>
    <row r="20" spans="1:20" ht="18.75">
      <c r="O20" s="756" t="s">
        <v>7</v>
      </c>
      <c r="P20" s="848">
        <f>P18+P19</f>
        <v>256.875</v>
      </c>
      <c r="Q20" s="474">
        <f>8-1</f>
        <v>7</v>
      </c>
      <c r="R20" s="847"/>
      <c r="S20" s="127" t="s">
        <v>46</v>
      </c>
      <c r="T20" s="77">
        <f>P18/P20</f>
        <v>0.99075425790754257</v>
      </c>
    </row>
  </sheetData>
  <mergeCells count="12">
    <mergeCell ref="G2:G3"/>
    <mergeCell ref="J2:M2"/>
    <mergeCell ref="J1:T1"/>
    <mergeCell ref="I13:M13"/>
    <mergeCell ref="I2:I3"/>
    <mergeCell ref="J7:M7"/>
    <mergeCell ref="H2:H3"/>
    <mergeCell ref="B13:F13"/>
    <mergeCell ref="A12:T12"/>
    <mergeCell ref="A2:A3"/>
    <mergeCell ref="C2:E2"/>
    <mergeCell ref="F2:F3"/>
  </mergeCells>
  <conditionalFormatting sqref="J3:M11">
    <cfRule type="cellIs" dxfId="35" priority="1" operator="equal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C576-A45A-4C94-8E95-13D3A72E0ECC}">
  <dimension ref="A1:R21"/>
  <sheetViews>
    <sheetView zoomScaleNormal="100" workbookViewId="0">
      <selection activeCell="A22" sqref="A22"/>
    </sheetView>
  </sheetViews>
  <sheetFormatPr defaultColWidth="6.875" defaultRowHeight="15.75"/>
  <cols>
    <col min="1" max="9" width="6.875" style="1" customWidth="1"/>
    <col min="10" max="16384" width="6.875" style="1"/>
  </cols>
  <sheetData>
    <row r="1" spans="1:18">
      <c r="A1" s="567" t="s">
        <v>299</v>
      </c>
      <c r="B1" s="826"/>
      <c r="C1" s="826"/>
      <c r="D1" s="826"/>
      <c r="E1" s="826"/>
      <c r="F1" s="826"/>
      <c r="G1" s="826"/>
      <c r="H1" s="826"/>
      <c r="I1" s="825"/>
      <c r="J1" s="567" t="s">
        <v>298</v>
      </c>
      <c r="K1" s="826"/>
      <c r="L1" s="826"/>
      <c r="M1" s="826"/>
      <c r="N1" s="826"/>
      <c r="O1" s="826"/>
      <c r="P1" s="826"/>
      <c r="Q1" s="826"/>
      <c r="R1" s="825"/>
    </row>
    <row r="2" spans="1:18">
      <c r="A2" s="518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6">
        <v>9</v>
      </c>
      <c r="J2" s="129">
        <v>1</v>
      </c>
      <c r="K2" s="472">
        <v>2</v>
      </c>
      <c r="L2" s="472">
        <v>3</v>
      </c>
      <c r="M2" s="472">
        <v>4</v>
      </c>
      <c r="N2" s="472">
        <v>5</v>
      </c>
      <c r="O2" s="472">
        <v>6</v>
      </c>
      <c r="P2" s="472">
        <v>7</v>
      </c>
      <c r="Q2" s="472">
        <v>8</v>
      </c>
      <c r="R2" s="795">
        <v>9</v>
      </c>
    </row>
    <row r="3" spans="1:18">
      <c r="A3" s="670">
        <v>1</v>
      </c>
      <c r="B3" s="846">
        <f>-1/SQRT((B$2-1)*B$2)</f>
        <v>-0.70710678118654746</v>
      </c>
      <c r="C3" s="846">
        <f>-1/SQRT((C$2-1)*C$2)</f>
        <v>-0.40824829046386307</v>
      </c>
      <c r="D3" s="846">
        <f>-1/SQRT((D$2-1)*D$2)</f>
        <v>-0.28867513459481292</v>
      </c>
      <c r="E3" s="846">
        <f>-1/SQRT((E$2-1)*E$2)</f>
        <v>-0.22360679774997896</v>
      </c>
      <c r="F3" s="846">
        <f>-1/SQRT((F$2-1)*F$2)</f>
        <v>-0.18257418583505536</v>
      </c>
      <c r="G3" s="846">
        <f>-1/SQRT((G$2-1)*G$2)</f>
        <v>-0.15430334996209191</v>
      </c>
      <c r="H3" s="846">
        <f>-1/SQRT((H$2-1)*H$2)</f>
        <v>-0.1336306209562122</v>
      </c>
      <c r="I3" s="846">
        <f>-1/SQRT((I$2-1)*I$2)</f>
        <v>-0.11785113019775793</v>
      </c>
      <c r="J3" s="845">
        <v>1</v>
      </c>
      <c r="K3" s="831">
        <v>2.5</v>
      </c>
      <c r="L3" s="844">
        <v>-0.5</v>
      </c>
      <c r="M3" s="844">
        <v>-0.5</v>
      </c>
      <c r="N3" s="844">
        <v>-0.5</v>
      </c>
      <c r="O3" s="844">
        <v>-0.5</v>
      </c>
      <c r="P3" s="844">
        <v>-0.5</v>
      </c>
      <c r="Q3" s="844">
        <v>-0.5</v>
      </c>
      <c r="R3" s="843">
        <v>-0.5</v>
      </c>
    </row>
    <row r="4" spans="1:18">
      <c r="A4" s="668">
        <v>1</v>
      </c>
      <c r="B4" s="842">
        <f>SQRT((B$2-1)/B$2)</f>
        <v>0.70710678118654757</v>
      </c>
      <c r="C4" s="838">
        <f>-1/SQRT((C$2-1)*C$2)</f>
        <v>-0.40824829046386307</v>
      </c>
      <c r="D4" s="838">
        <f>-1/SQRT((D$2-1)*D$2)</f>
        <v>-0.28867513459481292</v>
      </c>
      <c r="E4" s="838">
        <f>-1/SQRT((E$2-1)*E$2)</f>
        <v>-0.22360679774997896</v>
      </c>
      <c r="F4" s="838">
        <f>-1/SQRT((F$2-1)*F$2)</f>
        <v>-0.18257418583505536</v>
      </c>
      <c r="G4" s="838">
        <f>-1/SQRT((G$2-1)*G$2)</f>
        <v>-0.15430334996209191</v>
      </c>
      <c r="H4" s="838">
        <f>-1/SQRT((H$2-1)*H$2)</f>
        <v>-0.1336306209562122</v>
      </c>
      <c r="I4" s="838">
        <f>-1/SQRT((I$2-1)*I$2)</f>
        <v>-0.11785113019775793</v>
      </c>
      <c r="J4" s="837">
        <v>1</v>
      </c>
      <c r="K4" s="835">
        <v>-0.5</v>
      </c>
      <c r="L4" s="831">
        <v>2.5</v>
      </c>
      <c r="M4" s="836">
        <v>-0.5</v>
      </c>
      <c r="N4" s="836">
        <v>-0.5</v>
      </c>
      <c r="O4" s="836">
        <v>-0.5</v>
      </c>
      <c r="P4" s="836">
        <v>-0.5</v>
      </c>
      <c r="Q4" s="836">
        <v>-0.5</v>
      </c>
      <c r="R4" s="841">
        <v>-0.5</v>
      </c>
    </row>
    <row r="5" spans="1:18">
      <c r="A5" s="668">
        <v>1</v>
      </c>
      <c r="B5" s="838">
        <v>0</v>
      </c>
      <c r="C5" s="839">
        <f>SQRT((C$2-1)/C$2)</f>
        <v>0.81649658092772603</v>
      </c>
      <c r="D5" s="838">
        <f>-1/SQRT((D$2-1)*D$2)</f>
        <v>-0.28867513459481292</v>
      </c>
      <c r="E5" s="838">
        <f>-1/SQRT((E$2-1)*E$2)</f>
        <v>-0.22360679774997896</v>
      </c>
      <c r="F5" s="838">
        <f>-1/SQRT((F$2-1)*F$2)</f>
        <v>-0.18257418583505536</v>
      </c>
      <c r="G5" s="838">
        <f>-1/SQRT((G$2-1)*G$2)</f>
        <v>-0.15430334996209191</v>
      </c>
      <c r="H5" s="838">
        <f>-1/SQRT((H$2-1)*H$2)</f>
        <v>-0.1336306209562122</v>
      </c>
      <c r="I5" s="838">
        <f>-1/SQRT((I$2-1)*I$2)</f>
        <v>-0.11785113019775793</v>
      </c>
      <c r="J5" s="837">
        <v>1</v>
      </c>
      <c r="K5" s="836">
        <v>-0.5</v>
      </c>
      <c r="L5" s="835">
        <f>K4</f>
        <v>-0.5</v>
      </c>
      <c r="M5" s="831">
        <v>2.5</v>
      </c>
      <c r="N5" s="836">
        <v>-0.5</v>
      </c>
      <c r="O5" s="836">
        <v>-0.5</v>
      </c>
      <c r="P5" s="836">
        <v>-0.5</v>
      </c>
      <c r="Q5" s="836">
        <v>-0.5</v>
      </c>
      <c r="R5" s="841">
        <v>-0.5</v>
      </c>
    </row>
    <row r="6" spans="1:18">
      <c r="A6" s="668">
        <v>1</v>
      </c>
      <c r="B6" s="838">
        <v>0</v>
      </c>
      <c r="C6" s="838">
        <v>0</v>
      </c>
      <c r="D6" s="839">
        <f>SQRT((D$2-1)/D$2)</f>
        <v>0.8660254037844386</v>
      </c>
      <c r="E6" s="838">
        <f>-1/SQRT((E$2-1)*E$2)</f>
        <v>-0.22360679774997896</v>
      </c>
      <c r="F6" s="838">
        <f>-1/SQRT((F$2-1)*F$2)</f>
        <v>-0.18257418583505536</v>
      </c>
      <c r="G6" s="838">
        <f>-1/SQRT((G$2-1)*G$2)</f>
        <v>-0.15430334996209191</v>
      </c>
      <c r="H6" s="838">
        <f>-1/SQRT((H$2-1)*H$2)</f>
        <v>-0.1336306209562122</v>
      </c>
      <c r="I6" s="838">
        <f>-1/SQRT((I$2-1)*I$2)</f>
        <v>-0.11785113019775793</v>
      </c>
      <c r="J6" s="837">
        <v>1</v>
      </c>
      <c r="K6" s="836">
        <v>-0.5</v>
      </c>
      <c r="L6" s="836">
        <v>-0.5</v>
      </c>
      <c r="M6" s="835">
        <f>L5</f>
        <v>-0.5</v>
      </c>
      <c r="N6" s="831">
        <v>2.5</v>
      </c>
      <c r="O6" s="836">
        <v>-0.5</v>
      </c>
      <c r="P6" s="836">
        <v>-0.5</v>
      </c>
      <c r="Q6" s="836">
        <v>-0.5</v>
      </c>
      <c r="R6" s="841">
        <v>-0.5</v>
      </c>
    </row>
    <row r="7" spans="1:18">
      <c r="A7" s="668">
        <v>1</v>
      </c>
      <c r="B7" s="838">
        <v>0</v>
      </c>
      <c r="C7" s="838">
        <v>0</v>
      </c>
      <c r="D7" s="838">
        <v>0</v>
      </c>
      <c r="E7" s="839">
        <f>SQRT((E$2-1)/E$2)</f>
        <v>0.89442719099991586</v>
      </c>
      <c r="F7" s="838">
        <f>-1/SQRT((F$2-1)*F$2)</f>
        <v>-0.18257418583505536</v>
      </c>
      <c r="G7" s="838">
        <f>-1/SQRT((G$2-1)*G$2)</f>
        <v>-0.15430334996209191</v>
      </c>
      <c r="H7" s="838">
        <f>-1/SQRT((H$2-1)*H$2)</f>
        <v>-0.1336306209562122</v>
      </c>
      <c r="I7" s="838">
        <f>-1/SQRT((I$2-1)*I$2)</f>
        <v>-0.11785113019775793</v>
      </c>
      <c r="J7" s="837">
        <v>1</v>
      </c>
      <c r="K7" s="836">
        <v>-0.5</v>
      </c>
      <c r="L7" s="836">
        <v>-0.5</v>
      </c>
      <c r="M7" s="836">
        <v>-0.5</v>
      </c>
      <c r="N7" s="835">
        <f>M6</f>
        <v>-0.5</v>
      </c>
      <c r="O7" s="831">
        <v>2.5</v>
      </c>
      <c r="P7" s="836">
        <v>-0.5</v>
      </c>
      <c r="Q7" s="836">
        <v>-0.5</v>
      </c>
      <c r="R7" s="841">
        <v>-0.5</v>
      </c>
    </row>
    <row r="8" spans="1:18">
      <c r="A8" s="668">
        <v>1</v>
      </c>
      <c r="B8" s="838">
        <v>0</v>
      </c>
      <c r="C8" s="838">
        <v>0</v>
      </c>
      <c r="D8" s="838">
        <v>0</v>
      </c>
      <c r="E8" s="838">
        <v>0</v>
      </c>
      <c r="F8" s="839">
        <f>SQRT((F$2-1)/F$2)</f>
        <v>0.9128709291752769</v>
      </c>
      <c r="G8" s="838">
        <f>-1/SQRT((G$2-1)*G$2)</f>
        <v>-0.15430334996209191</v>
      </c>
      <c r="H8" s="838">
        <f>-1/SQRT((H$2-1)*H$2)</f>
        <v>-0.1336306209562122</v>
      </c>
      <c r="I8" s="838">
        <f>-1/SQRT((I$2-1)*I$2)</f>
        <v>-0.11785113019775793</v>
      </c>
      <c r="J8" s="837">
        <v>1</v>
      </c>
      <c r="K8" s="836">
        <v>-0.5</v>
      </c>
      <c r="L8" s="836">
        <v>-0.5</v>
      </c>
      <c r="M8" s="836">
        <v>-0.5</v>
      </c>
      <c r="N8" s="836">
        <v>-0.5</v>
      </c>
      <c r="O8" s="835">
        <f>N7</f>
        <v>-0.5</v>
      </c>
      <c r="P8" s="834">
        <v>2.5</v>
      </c>
      <c r="Q8" s="835">
        <v>-0.5</v>
      </c>
      <c r="R8" s="840">
        <v>-0.5</v>
      </c>
    </row>
    <row r="9" spans="1:18">
      <c r="A9" s="668">
        <v>1</v>
      </c>
      <c r="B9" s="838">
        <v>0</v>
      </c>
      <c r="C9" s="838">
        <v>0</v>
      </c>
      <c r="D9" s="838">
        <v>0</v>
      </c>
      <c r="E9" s="838">
        <v>0</v>
      </c>
      <c r="F9" s="838">
        <v>0</v>
      </c>
      <c r="G9" s="839">
        <f>SQRT((G$2-1)/G$2)</f>
        <v>0.92582009977255142</v>
      </c>
      <c r="H9" s="838">
        <f>-1/SQRT((H$2-1)*H$2)</f>
        <v>-0.1336306209562122</v>
      </c>
      <c r="I9" s="838">
        <f>-1/SQRT((I$2-1)*I$2)</f>
        <v>-0.11785113019775793</v>
      </c>
      <c r="J9" s="837">
        <v>1</v>
      </c>
      <c r="K9" s="836">
        <v>-0.5</v>
      </c>
      <c r="L9" s="836">
        <v>-0.5</v>
      </c>
      <c r="M9" s="836">
        <v>-0.5</v>
      </c>
      <c r="N9" s="836">
        <v>-0.5</v>
      </c>
      <c r="O9" s="835">
        <v>-0.5</v>
      </c>
      <c r="P9" s="835">
        <f>O8</f>
        <v>-0.5</v>
      </c>
      <c r="Q9" s="834">
        <v>2.5</v>
      </c>
      <c r="R9" s="840">
        <v>-0.5</v>
      </c>
    </row>
    <row r="10" spans="1:18">
      <c r="A10" s="668">
        <v>1</v>
      </c>
      <c r="B10" s="838">
        <v>0</v>
      </c>
      <c r="C10" s="838">
        <v>0</v>
      </c>
      <c r="D10" s="838">
        <v>0</v>
      </c>
      <c r="E10" s="838">
        <v>0</v>
      </c>
      <c r="F10" s="838">
        <v>0</v>
      </c>
      <c r="G10" s="838">
        <v>0</v>
      </c>
      <c r="H10" s="839">
        <f>SQRT((H$2-1)/H$2)</f>
        <v>0.93541434669348533</v>
      </c>
      <c r="I10" s="838">
        <f>-1/SQRT((I$2-1)*I$2)</f>
        <v>-0.11785113019775793</v>
      </c>
      <c r="J10" s="837">
        <v>1</v>
      </c>
      <c r="K10" s="836">
        <v>-0.5</v>
      </c>
      <c r="L10" s="836">
        <v>-0.5</v>
      </c>
      <c r="M10" s="836">
        <v>-0.5</v>
      </c>
      <c r="N10" s="836">
        <v>-0.5</v>
      </c>
      <c r="O10" s="835">
        <v>-0.5</v>
      </c>
      <c r="P10" s="835">
        <v>-0.5</v>
      </c>
      <c r="Q10" s="835">
        <f>P9</f>
        <v>-0.5</v>
      </c>
      <c r="R10" s="834">
        <v>2.5</v>
      </c>
    </row>
    <row r="11" spans="1:18">
      <c r="A11" s="667">
        <v>1</v>
      </c>
      <c r="B11" s="833">
        <v>0</v>
      </c>
      <c r="C11" s="833">
        <v>0</v>
      </c>
      <c r="D11" s="833">
        <v>0</v>
      </c>
      <c r="E11" s="833">
        <v>0</v>
      </c>
      <c r="F11" s="833">
        <v>0</v>
      </c>
      <c r="G11" s="833">
        <v>0</v>
      </c>
      <c r="H11" s="833">
        <v>0</v>
      </c>
      <c r="I11" s="832">
        <f>SQRT((I$2-1)/I$2)</f>
        <v>0.94280904158206336</v>
      </c>
      <c r="J11" s="831">
        <v>1</v>
      </c>
      <c r="K11" s="830">
        <v>1</v>
      </c>
      <c r="L11" s="829">
        <v>1</v>
      </c>
      <c r="M11" s="829">
        <v>1</v>
      </c>
      <c r="N11" s="829">
        <v>1</v>
      </c>
      <c r="O11" s="828">
        <v>1</v>
      </c>
      <c r="P11" s="828">
        <v>1</v>
      </c>
      <c r="Q11" s="828">
        <v>1</v>
      </c>
      <c r="R11" s="827">
        <v>1</v>
      </c>
    </row>
    <row r="12" spans="1:18" ht="18.75">
      <c r="A12" s="782" t="s">
        <v>297</v>
      </c>
      <c r="B12" s="826"/>
      <c r="C12" s="826"/>
      <c r="D12" s="826"/>
      <c r="E12" s="826"/>
      <c r="F12" s="826"/>
      <c r="G12" s="826"/>
      <c r="H12" s="826"/>
      <c r="I12" s="825"/>
      <c r="J12" s="782" t="s">
        <v>296</v>
      </c>
      <c r="K12" s="826"/>
      <c r="L12" s="826"/>
      <c r="M12" s="826"/>
      <c r="N12" s="826"/>
      <c r="O12" s="826"/>
      <c r="P12" s="826"/>
      <c r="Q12" s="826"/>
      <c r="R12" s="825"/>
    </row>
    <row r="13" spans="1:18">
      <c r="A13" s="670">
        <f t="array" ref="A13:I21">MMULT(TRANSPOSE(A3:I11),A3:I11)</f>
        <v>9</v>
      </c>
      <c r="B13" s="88">
        <v>1.1102230246251565E-16</v>
      </c>
      <c r="C13" s="88">
        <v>-1.1102230246251565E-16</v>
      </c>
      <c r="D13" s="88">
        <v>-2.2204460492503131E-16</v>
      </c>
      <c r="E13" s="88">
        <v>0</v>
      </c>
      <c r="F13" s="88">
        <v>1.1102230246251565E-16</v>
      </c>
      <c r="G13" s="88">
        <v>-1.1102230246251565E-16</v>
      </c>
      <c r="H13" s="88">
        <v>1.1102230246251565E-16</v>
      </c>
      <c r="I13" s="1">
        <v>-1.1102230246251565E-16</v>
      </c>
      <c r="J13" s="670">
        <f t="array" ref="J13:R21">MMULT(TRANSPOSE(J3:R11),J3:R11)</f>
        <v>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90">
        <v>0</v>
      </c>
    </row>
    <row r="14" spans="1:18">
      <c r="A14" s="455">
        <v>1.1102230246251565E-16</v>
      </c>
      <c r="B14" s="670">
        <v>1</v>
      </c>
      <c r="C14" s="1">
        <v>0</v>
      </c>
      <c r="D14" s="1">
        <v>-2.7755575615628914E-17</v>
      </c>
      <c r="E14" s="1">
        <v>-2.7755575615628914E-17</v>
      </c>
      <c r="F14" s="1">
        <v>0</v>
      </c>
      <c r="G14" s="1">
        <v>-1.3877787807814457E-17</v>
      </c>
      <c r="H14" s="1">
        <v>-1.3877787807814457E-17</v>
      </c>
      <c r="I14" s="90">
        <v>-1.3877787807814457E-17</v>
      </c>
      <c r="J14" s="455">
        <v>0</v>
      </c>
      <c r="K14" s="670">
        <v>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90">
        <v>0</v>
      </c>
    </row>
    <row r="15" spans="1:18">
      <c r="A15" s="455">
        <v>-1.1102230246251565E-16</v>
      </c>
      <c r="B15" s="1">
        <v>0</v>
      </c>
      <c r="C15" s="670">
        <v>1</v>
      </c>
      <c r="D15" s="1">
        <v>2.7755575615628914E-17</v>
      </c>
      <c r="E15" s="1">
        <v>2.7755575615628914E-17</v>
      </c>
      <c r="F15" s="1">
        <v>2.7755575615628914E-17</v>
      </c>
      <c r="G15" s="1">
        <v>0</v>
      </c>
      <c r="H15" s="1">
        <v>1.3877787807814457E-17</v>
      </c>
      <c r="I15" s="90">
        <v>1.3877787807814457E-17</v>
      </c>
      <c r="J15" s="455">
        <v>0</v>
      </c>
      <c r="K15" s="1">
        <v>0</v>
      </c>
      <c r="L15" s="670">
        <v>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90">
        <v>0</v>
      </c>
    </row>
    <row r="16" spans="1:18">
      <c r="A16" s="455">
        <v>-2.2204460492503131E-16</v>
      </c>
      <c r="B16" s="1">
        <v>-2.7755575615628914E-17</v>
      </c>
      <c r="C16" s="1">
        <v>2.7755575615628914E-17</v>
      </c>
      <c r="D16" s="670">
        <v>1</v>
      </c>
      <c r="E16" s="1">
        <v>2.7755575615628914E-17</v>
      </c>
      <c r="F16" s="1">
        <v>5.5511151231257827E-17</v>
      </c>
      <c r="G16" s="1">
        <v>0</v>
      </c>
      <c r="H16" s="1">
        <v>2.7755575615628914E-17</v>
      </c>
      <c r="I16" s="90">
        <v>2.7755575615628914E-17</v>
      </c>
      <c r="J16" s="455">
        <v>0</v>
      </c>
      <c r="K16" s="1">
        <v>0</v>
      </c>
      <c r="L16" s="1">
        <v>0</v>
      </c>
      <c r="M16" s="670">
        <v>9</v>
      </c>
      <c r="N16" s="1">
        <v>0</v>
      </c>
      <c r="O16" s="1">
        <v>0</v>
      </c>
      <c r="P16" s="1">
        <v>0</v>
      </c>
      <c r="Q16" s="1">
        <v>0</v>
      </c>
      <c r="R16" s="90">
        <v>0</v>
      </c>
    </row>
    <row r="17" spans="1:18">
      <c r="A17" s="455">
        <v>0</v>
      </c>
      <c r="B17" s="1">
        <v>-2.7755575615628914E-17</v>
      </c>
      <c r="C17" s="1">
        <v>2.7755575615628914E-17</v>
      </c>
      <c r="D17" s="1">
        <v>2.7755575615628914E-17</v>
      </c>
      <c r="E17" s="670">
        <v>0.99999999999999989</v>
      </c>
      <c r="F17" s="1">
        <v>0</v>
      </c>
      <c r="G17" s="1">
        <v>0</v>
      </c>
      <c r="H17" s="1">
        <v>0</v>
      </c>
      <c r="I17" s="90">
        <v>0</v>
      </c>
      <c r="J17" s="455">
        <v>0</v>
      </c>
      <c r="K17" s="1">
        <v>0</v>
      </c>
      <c r="L17" s="1">
        <v>0</v>
      </c>
      <c r="M17" s="1">
        <v>0</v>
      </c>
      <c r="N17" s="670">
        <v>9</v>
      </c>
      <c r="O17" s="1">
        <v>0</v>
      </c>
      <c r="P17" s="1">
        <v>0</v>
      </c>
      <c r="Q17" s="1">
        <v>0</v>
      </c>
      <c r="R17" s="90">
        <v>0</v>
      </c>
    </row>
    <row r="18" spans="1:18">
      <c r="A18" s="455">
        <v>1.1102230246251565E-16</v>
      </c>
      <c r="B18" s="1">
        <v>0</v>
      </c>
      <c r="C18" s="1">
        <v>2.7755575615628914E-17</v>
      </c>
      <c r="D18" s="1">
        <v>5.5511151231257827E-17</v>
      </c>
      <c r="E18" s="1">
        <v>0</v>
      </c>
      <c r="F18" s="670">
        <v>1</v>
      </c>
      <c r="G18" s="1">
        <v>-2.7755575615628914E-17</v>
      </c>
      <c r="H18" s="1">
        <v>-1.3877787807814457E-17</v>
      </c>
      <c r="I18" s="90">
        <v>-1.3877787807814457E-17</v>
      </c>
      <c r="J18" s="455">
        <v>0</v>
      </c>
      <c r="K18" s="1">
        <v>0</v>
      </c>
      <c r="L18" s="1">
        <v>0</v>
      </c>
      <c r="M18" s="1">
        <v>0</v>
      </c>
      <c r="N18" s="1">
        <v>0</v>
      </c>
      <c r="O18" s="670">
        <v>9</v>
      </c>
      <c r="P18" s="1">
        <v>0</v>
      </c>
      <c r="Q18" s="1">
        <v>0</v>
      </c>
      <c r="R18" s="90">
        <v>0</v>
      </c>
    </row>
    <row r="19" spans="1:18">
      <c r="A19" s="455">
        <v>-1.1102230246251565E-16</v>
      </c>
      <c r="B19" s="1">
        <v>-1.3877787807814457E-17</v>
      </c>
      <c r="C19" s="1">
        <v>0</v>
      </c>
      <c r="D19" s="1">
        <v>0</v>
      </c>
      <c r="E19" s="1">
        <v>0</v>
      </c>
      <c r="F19" s="1">
        <v>-2.7755575615628914E-17</v>
      </c>
      <c r="G19" s="670">
        <v>1</v>
      </c>
      <c r="H19" s="1">
        <v>1.3877787807814457E-17</v>
      </c>
      <c r="I19" s="90">
        <v>1.3877787807814457E-17</v>
      </c>
      <c r="J19" s="455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670">
        <v>9</v>
      </c>
      <c r="Q19" s="1">
        <v>0</v>
      </c>
      <c r="R19" s="90">
        <v>0</v>
      </c>
    </row>
    <row r="20" spans="1:18">
      <c r="A20" s="455">
        <v>1.1102230246251565E-16</v>
      </c>
      <c r="B20" s="1">
        <v>-1.3877787807814457E-17</v>
      </c>
      <c r="C20" s="1">
        <v>1.3877787807814457E-17</v>
      </c>
      <c r="D20" s="1">
        <v>2.7755575615628914E-17</v>
      </c>
      <c r="E20" s="1">
        <v>0</v>
      </c>
      <c r="F20" s="1">
        <v>-1.3877787807814457E-17</v>
      </c>
      <c r="G20" s="1">
        <v>1.3877787807814457E-17</v>
      </c>
      <c r="H20" s="670">
        <v>1</v>
      </c>
      <c r="I20" s="90">
        <v>-2.7755575615628914E-17</v>
      </c>
      <c r="J20" s="455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670">
        <v>9</v>
      </c>
      <c r="R20" s="90">
        <v>0</v>
      </c>
    </row>
    <row r="21" spans="1:18">
      <c r="A21" s="106">
        <v>-1.1102230246251565E-16</v>
      </c>
      <c r="B21" s="76">
        <v>-1.3877787807814457E-17</v>
      </c>
      <c r="C21" s="76">
        <v>1.3877787807814457E-17</v>
      </c>
      <c r="D21" s="76">
        <v>2.7755575615628914E-17</v>
      </c>
      <c r="E21" s="76">
        <v>0</v>
      </c>
      <c r="F21" s="76">
        <v>-1.3877787807814457E-17</v>
      </c>
      <c r="G21" s="76">
        <v>1.3877787807814457E-17</v>
      </c>
      <c r="H21" s="76">
        <v>-2.7755575615628914E-17</v>
      </c>
      <c r="I21" s="670">
        <v>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670">
        <v>9</v>
      </c>
    </row>
  </sheetData>
  <mergeCells count="4">
    <mergeCell ref="A1:I1"/>
    <mergeCell ref="J1:R1"/>
    <mergeCell ref="A12:I12"/>
    <mergeCell ref="J12:R12"/>
  </mergeCells>
  <conditionalFormatting sqref="A13:R21">
    <cfRule type="cellIs" dxfId="34" priority="1" operator="between">
      <formula>-0.0001</formula>
      <formula>0.0001</formula>
    </cfRule>
  </conditionalFormatting>
  <conditionalFormatting sqref="J4:J11">
    <cfRule type="cellIs" dxfId="33" priority="10" operator="between">
      <formula>-0.0001</formula>
      <formula>0.0001</formula>
    </cfRule>
  </conditionalFormatting>
  <conditionalFormatting sqref="K3 A3:I11">
    <cfRule type="cellIs" dxfId="32" priority="11" operator="between">
      <formula>-0.0001</formula>
      <formula>0.0001</formula>
    </cfRule>
  </conditionalFormatting>
  <conditionalFormatting sqref="K5:K11">
    <cfRule type="cellIs" dxfId="31" priority="9" operator="between">
      <formula>-0.0001</formula>
      <formula>0.0001</formula>
    </cfRule>
  </conditionalFormatting>
  <conditionalFormatting sqref="L6:L11">
    <cfRule type="cellIs" dxfId="30" priority="4" operator="between">
      <formula>-0.0001</formula>
      <formula>0.0001</formula>
    </cfRule>
  </conditionalFormatting>
  <conditionalFormatting sqref="L3:R4">
    <cfRule type="cellIs" dxfId="29" priority="8" operator="between">
      <formula>-0.0001</formula>
      <formula>0.0001</formula>
    </cfRule>
  </conditionalFormatting>
  <conditionalFormatting sqref="M7:M11">
    <cfRule type="cellIs" dxfId="28" priority="3" operator="between">
      <formula>-0.0001</formula>
      <formula>0.0001</formula>
    </cfRule>
  </conditionalFormatting>
  <conditionalFormatting sqref="M5:R5">
    <cfRule type="cellIs" dxfId="27" priority="7" operator="between">
      <formula>-0.0001</formula>
      <formula>0.0001</formula>
    </cfRule>
  </conditionalFormatting>
  <conditionalFormatting sqref="N8:N11">
    <cfRule type="cellIs" dxfId="26" priority="2" operator="between">
      <formula>-0.0001</formula>
      <formula>0.0001</formula>
    </cfRule>
  </conditionalFormatting>
  <conditionalFormatting sqref="N6:R6">
    <cfRule type="cellIs" dxfId="25" priority="6" operator="between">
      <formula>-0.0001</formula>
      <formula>0.0001</formula>
    </cfRule>
  </conditionalFormatting>
  <conditionalFormatting sqref="O7:R7">
    <cfRule type="cellIs" dxfId="24" priority="5" operator="between">
      <formula>-0.0001</formula>
      <formula>0.0001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9E5E-1EDA-47F2-B24D-069D13D93673}">
  <dimension ref="A1:AI33"/>
  <sheetViews>
    <sheetView zoomScaleNormal="100" workbookViewId="0">
      <selection activeCell="A33" sqref="A33"/>
    </sheetView>
  </sheetViews>
  <sheetFormatPr defaultColWidth="6.875" defaultRowHeight="15.75"/>
  <cols>
    <col min="1" max="7" width="6.875" style="94" customWidth="1"/>
    <col min="8" max="14" width="6.875" style="1" customWidth="1"/>
    <col min="15" max="29" width="6.875" customWidth="1"/>
    <col min="30" max="35" width="6.875" style="1" customWidth="1"/>
    <col min="36" max="16384" width="6.875" style="1"/>
  </cols>
  <sheetData>
    <row r="1" spans="1:35" ht="19.5">
      <c r="A1" s="567" t="s">
        <v>14</v>
      </c>
      <c r="B1" s="568"/>
      <c r="C1" s="568"/>
      <c r="D1" s="568"/>
      <c r="E1" s="568"/>
      <c r="F1" s="568"/>
      <c r="G1" s="570"/>
      <c r="H1" s="652" t="s">
        <v>295</v>
      </c>
      <c r="I1" s="809"/>
      <c r="J1" s="809"/>
      <c r="K1" s="809"/>
      <c r="L1" s="809"/>
      <c r="M1" s="809"/>
      <c r="N1" s="808"/>
      <c r="O1" s="567" t="s">
        <v>294</v>
      </c>
      <c r="P1" s="568"/>
      <c r="Q1" s="568"/>
      <c r="R1" s="568"/>
      <c r="S1" s="568"/>
      <c r="T1" s="568"/>
      <c r="U1" s="570"/>
      <c r="V1" s="652" t="s">
        <v>293</v>
      </c>
      <c r="W1" s="809"/>
      <c r="X1" s="809"/>
      <c r="Y1" s="809"/>
      <c r="Z1" s="809"/>
      <c r="AA1" s="809"/>
      <c r="AB1" s="808"/>
      <c r="AC1" s="567" t="s">
        <v>292</v>
      </c>
      <c r="AD1" s="568"/>
      <c r="AE1" s="568"/>
      <c r="AF1" s="568"/>
      <c r="AG1" s="568"/>
      <c r="AH1" s="568"/>
      <c r="AI1" s="570"/>
    </row>
    <row r="2" spans="1:35" ht="19.5">
      <c r="A2" s="524">
        <v>0</v>
      </c>
      <c r="B2" s="464" t="s">
        <v>267</v>
      </c>
      <c r="C2" s="464" t="s">
        <v>266</v>
      </c>
      <c r="D2" s="464" t="s">
        <v>274</v>
      </c>
      <c r="E2" s="524" t="s">
        <v>1</v>
      </c>
      <c r="F2" s="799" t="s">
        <v>272</v>
      </c>
      <c r="G2" s="799" t="s">
        <v>273</v>
      </c>
      <c r="H2" s="756" t="s">
        <v>291</v>
      </c>
      <c r="I2" s="807" t="s">
        <v>290</v>
      </c>
      <c r="J2" s="807" t="s">
        <v>289</v>
      </c>
      <c r="K2" s="756" t="s">
        <v>288</v>
      </c>
      <c r="L2" s="756" t="s">
        <v>287</v>
      </c>
      <c r="M2" s="807" t="s">
        <v>286</v>
      </c>
      <c r="N2" s="796" t="s">
        <v>285</v>
      </c>
      <c r="O2" s="7">
        <v>0</v>
      </c>
      <c r="P2" s="464" t="s">
        <v>267</v>
      </c>
      <c r="Q2" s="464" t="s">
        <v>266</v>
      </c>
      <c r="R2" s="464" t="s">
        <v>274</v>
      </c>
      <c r="S2" s="524" t="s">
        <v>1</v>
      </c>
      <c r="T2" s="464" t="s">
        <v>286</v>
      </c>
      <c r="U2" s="454" t="s">
        <v>285</v>
      </c>
      <c r="V2" s="2">
        <v>0</v>
      </c>
      <c r="W2" s="807" t="s">
        <v>267</v>
      </c>
      <c r="X2" s="807" t="s">
        <v>266</v>
      </c>
      <c r="Y2" s="807" t="s">
        <v>274</v>
      </c>
      <c r="Z2" s="756" t="s">
        <v>1</v>
      </c>
      <c r="AA2" s="807" t="s">
        <v>286</v>
      </c>
      <c r="AB2" s="796" t="s">
        <v>285</v>
      </c>
      <c r="AC2" s="7">
        <v>0</v>
      </c>
      <c r="AD2" s="464" t="s">
        <v>267</v>
      </c>
      <c r="AE2" s="464" t="s">
        <v>266</v>
      </c>
      <c r="AF2" s="464" t="s">
        <v>274</v>
      </c>
      <c r="AG2" s="524" t="s">
        <v>1</v>
      </c>
      <c r="AH2" s="464" t="s">
        <v>286</v>
      </c>
      <c r="AI2" s="454" t="s">
        <v>285</v>
      </c>
    </row>
    <row r="3" spans="1:35">
      <c r="A3" s="669">
        <v>1</v>
      </c>
      <c r="B3" s="815">
        <v>-1</v>
      </c>
      <c r="C3" s="815">
        <v>-1</v>
      </c>
      <c r="D3" s="815">
        <f>B3*C3</f>
        <v>1</v>
      </c>
      <c r="E3" s="669">
        <v>-1</v>
      </c>
      <c r="F3" s="814">
        <f>B3^2-2/3</f>
        <v>0.33333333333333337</v>
      </c>
      <c r="G3" s="813">
        <f>C3^2-2/3</f>
        <v>0.33333333333333337</v>
      </c>
      <c r="H3" s="39">
        <f t="array" ref="H3:N14">MMULT(X,INV_S)</f>
        <v>0.28867513459481287</v>
      </c>
      <c r="I3" s="40">
        <v>-0.35355339059327379</v>
      </c>
      <c r="J3" s="40">
        <v>-0.35355339059327379</v>
      </c>
      <c r="K3" s="39">
        <v>0.5</v>
      </c>
      <c r="L3" s="39">
        <v>-0.28867513459481287</v>
      </c>
      <c r="M3" s="500">
        <v>0.14433756729740641</v>
      </c>
      <c r="N3" s="816">
        <v>0.14433756729740641</v>
      </c>
      <c r="O3" s="38">
        <f t="array" ref="O3:U14">MMULT(X,INV_S1)</f>
        <v>1</v>
      </c>
      <c r="P3" s="815">
        <v>-1</v>
      </c>
      <c r="Q3" s="815">
        <v>-1</v>
      </c>
      <c r="R3" s="815">
        <v>1</v>
      </c>
      <c r="S3" s="669">
        <v>-1</v>
      </c>
      <c r="T3" s="814">
        <v>0.14433756729740641</v>
      </c>
      <c r="U3" s="813">
        <v>0.14433756729740641</v>
      </c>
      <c r="V3" s="87">
        <f t="array" ref="V3:AB14">MMULT(X,INV_S2)</f>
        <v>1</v>
      </c>
      <c r="W3" s="40">
        <v>-1</v>
      </c>
      <c r="X3" s="40">
        <v>-1</v>
      </c>
      <c r="Y3" s="40">
        <v>1</v>
      </c>
      <c r="Z3" s="39">
        <v>-1</v>
      </c>
      <c r="AA3" s="500">
        <v>0.36700683814454804</v>
      </c>
      <c r="AB3" s="816">
        <v>0.36700683814454804</v>
      </c>
      <c r="AC3" s="38">
        <f t="array" ref="AC3:AI14">MMULT(X,INV_S3)</f>
        <v>1</v>
      </c>
      <c r="AD3" s="815">
        <v>-1</v>
      </c>
      <c r="AE3" s="815">
        <v>-1</v>
      </c>
      <c r="AF3" s="815">
        <v>1</v>
      </c>
      <c r="AG3" s="669">
        <v>-1</v>
      </c>
      <c r="AH3" s="814">
        <v>0.36514837167011083</v>
      </c>
      <c r="AI3" s="813">
        <v>0.36514837167011083</v>
      </c>
    </row>
    <row r="4" spans="1:35">
      <c r="A4" s="668">
        <v>1</v>
      </c>
      <c r="B4" s="804">
        <v>-1</v>
      </c>
      <c r="C4" s="804">
        <v>1</v>
      </c>
      <c r="D4" s="804">
        <f>B4*C4</f>
        <v>-1</v>
      </c>
      <c r="E4" s="668">
        <v>-1</v>
      </c>
      <c r="F4" s="819">
        <f>B4^2-2/3</f>
        <v>0.33333333333333337</v>
      </c>
      <c r="G4" s="818">
        <f>C4^2-2/3</f>
        <v>0.33333333333333337</v>
      </c>
      <c r="H4" s="448">
        <v>0.28867513459481287</v>
      </c>
      <c r="I4" s="94">
        <v>-0.35355339059327379</v>
      </c>
      <c r="J4" s="94">
        <v>0.35355339059327379</v>
      </c>
      <c r="K4" s="448">
        <v>-0.5</v>
      </c>
      <c r="L4" s="448">
        <v>-0.28867513459481287</v>
      </c>
      <c r="M4" s="499">
        <v>0.14433756729740641</v>
      </c>
      <c r="N4" s="821">
        <v>0.14433756729740641</v>
      </c>
      <c r="O4" s="34">
        <v>1</v>
      </c>
      <c r="P4" s="804">
        <v>-1</v>
      </c>
      <c r="Q4" s="804">
        <v>1</v>
      </c>
      <c r="R4" s="804">
        <v>-1</v>
      </c>
      <c r="S4" s="668">
        <v>-1</v>
      </c>
      <c r="T4" s="819">
        <v>0.14433756729740641</v>
      </c>
      <c r="U4" s="818">
        <v>0.14433756729740641</v>
      </c>
      <c r="V4" s="89">
        <v>1</v>
      </c>
      <c r="W4" s="94">
        <v>-1</v>
      </c>
      <c r="X4" s="94">
        <v>1</v>
      </c>
      <c r="Y4" s="94">
        <v>-1</v>
      </c>
      <c r="Z4" s="448">
        <v>-1</v>
      </c>
      <c r="AA4" s="499">
        <v>0.36700683814454804</v>
      </c>
      <c r="AB4" s="821">
        <v>0.36700683814454804</v>
      </c>
      <c r="AC4" s="34">
        <v>1</v>
      </c>
      <c r="AD4" s="804">
        <v>-1</v>
      </c>
      <c r="AE4" s="804">
        <v>1</v>
      </c>
      <c r="AF4" s="804">
        <v>-1</v>
      </c>
      <c r="AG4" s="668">
        <v>-1</v>
      </c>
      <c r="AH4" s="819">
        <v>0.36514837167011083</v>
      </c>
      <c r="AI4" s="818">
        <v>0.36514837167011083</v>
      </c>
    </row>
    <row r="5" spans="1:35">
      <c r="A5" s="668">
        <v>1</v>
      </c>
      <c r="B5" s="804">
        <v>1</v>
      </c>
      <c r="C5" s="804">
        <v>-1</v>
      </c>
      <c r="D5" s="804">
        <f>B5*C5</f>
        <v>-1</v>
      </c>
      <c r="E5" s="668">
        <v>-1</v>
      </c>
      <c r="F5" s="819">
        <f>B5^2-2/3</f>
        <v>0.33333333333333337</v>
      </c>
      <c r="G5" s="818">
        <f>C5^2-2/3</f>
        <v>0.33333333333333337</v>
      </c>
      <c r="H5" s="448">
        <v>0.28867513459481287</v>
      </c>
      <c r="I5" s="94">
        <v>0.35355339059327379</v>
      </c>
      <c r="J5" s="94">
        <v>-0.35355339059327379</v>
      </c>
      <c r="K5" s="448">
        <v>-0.5</v>
      </c>
      <c r="L5" s="448">
        <v>-0.28867513459481287</v>
      </c>
      <c r="M5" s="499">
        <v>0.14433756729740641</v>
      </c>
      <c r="N5" s="821">
        <v>0.14433756729740641</v>
      </c>
      <c r="O5" s="34">
        <v>1</v>
      </c>
      <c r="P5" s="804">
        <v>1</v>
      </c>
      <c r="Q5" s="804">
        <v>-1</v>
      </c>
      <c r="R5" s="804">
        <v>-1</v>
      </c>
      <c r="S5" s="668">
        <v>-1</v>
      </c>
      <c r="T5" s="819">
        <v>0.14433756729740641</v>
      </c>
      <c r="U5" s="818">
        <v>0.14433756729740641</v>
      </c>
      <c r="V5" s="89">
        <v>1</v>
      </c>
      <c r="W5" s="94">
        <v>1</v>
      </c>
      <c r="X5" s="94">
        <v>-1</v>
      </c>
      <c r="Y5" s="94">
        <v>-1</v>
      </c>
      <c r="Z5" s="448">
        <v>-1</v>
      </c>
      <c r="AA5" s="499">
        <v>0.36700683814454804</v>
      </c>
      <c r="AB5" s="821">
        <v>0.36700683814454804</v>
      </c>
      <c r="AC5" s="34">
        <v>1</v>
      </c>
      <c r="AD5" s="804">
        <v>1</v>
      </c>
      <c r="AE5" s="804">
        <v>-1</v>
      </c>
      <c r="AF5" s="804">
        <v>-1</v>
      </c>
      <c r="AG5" s="668">
        <v>-1</v>
      </c>
      <c r="AH5" s="819">
        <v>0.36514837167011083</v>
      </c>
      <c r="AI5" s="818">
        <v>0.36514837167011083</v>
      </c>
    </row>
    <row r="6" spans="1:35">
      <c r="A6" s="667">
        <v>1</v>
      </c>
      <c r="B6" s="802">
        <v>1</v>
      </c>
      <c r="C6" s="802">
        <v>1</v>
      </c>
      <c r="D6" s="802">
        <f>B6*C6</f>
        <v>1</v>
      </c>
      <c r="E6" s="667">
        <v>-1</v>
      </c>
      <c r="F6" s="811">
        <f>B6^2-2/3</f>
        <v>0.33333333333333337</v>
      </c>
      <c r="G6" s="810">
        <f>C6^2-2/3</f>
        <v>0.33333333333333337</v>
      </c>
      <c r="H6" s="95">
        <v>0.28867513459481287</v>
      </c>
      <c r="I6" s="96">
        <v>0.35355339059327379</v>
      </c>
      <c r="J6" s="96">
        <v>0.35355339059327379</v>
      </c>
      <c r="K6" s="95">
        <v>0.5</v>
      </c>
      <c r="L6" s="95">
        <v>-0.28867513459481287</v>
      </c>
      <c r="M6" s="498">
        <v>0.14433756729740641</v>
      </c>
      <c r="N6" s="812">
        <v>0.14433756729740641</v>
      </c>
      <c r="O6" s="63">
        <v>1</v>
      </c>
      <c r="P6" s="802">
        <v>1</v>
      </c>
      <c r="Q6" s="802">
        <v>1</v>
      </c>
      <c r="R6" s="802">
        <v>1</v>
      </c>
      <c r="S6" s="667">
        <v>-1</v>
      </c>
      <c r="T6" s="811">
        <v>0.14433756729740641</v>
      </c>
      <c r="U6" s="810">
        <v>0.14433756729740641</v>
      </c>
      <c r="V6" s="75">
        <v>1</v>
      </c>
      <c r="W6" s="96">
        <v>1</v>
      </c>
      <c r="X6" s="96">
        <v>1</v>
      </c>
      <c r="Y6" s="96">
        <v>1</v>
      </c>
      <c r="Z6" s="95">
        <v>-1</v>
      </c>
      <c r="AA6" s="498">
        <v>0.36700683814454804</v>
      </c>
      <c r="AB6" s="812">
        <v>0.36700683814454804</v>
      </c>
      <c r="AC6" s="63">
        <v>1</v>
      </c>
      <c r="AD6" s="802">
        <v>1</v>
      </c>
      <c r="AE6" s="802">
        <v>1</v>
      </c>
      <c r="AF6" s="802">
        <v>1</v>
      </c>
      <c r="AG6" s="667">
        <v>-1</v>
      </c>
      <c r="AH6" s="811">
        <v>0.36514837167011083</v>
      </c>
      <c r="AI6" s="810">
        <v>0.36514837167011083</v>
      </c>
    </row>
    <row r="7" spans="1:35">
      <c r="A7" s="669">
        <v>1</v>
      </c>
      <c r="B7" s="815">
        <v>0</v>
      </c>
      <c r="C7" s="815">
        <v>0</v>
      </c>
      <c r="D7" s="815">
        <f>B7*C7</f>
        <v>0</v>
      </c>
      <c r="E7" s="669">
        <v>-1</v>
      </c>
      <c r="F7" s="814">
        <f>B7^2-2/3</f>
        <v>-0.66666666666666663</v>
      </c>
      <c r="G7" s="813">
        <f>C7^2-2/3</f>
        <v>-0.66666666666666663</v>
      </c>
      <c r="H7" s="39">
        <v>0.28867513459481298</v>
      </c>
      <c r="I7" s="40">
        <v>0</v>
      </c>
      <c r="J7" s="40">
        <v>0</v>
      </c>
      <c r="K7" s="39">
        <v>0</v>
      </c>
      <c r="L7" s="39">
        <v>-0.28867513459481275</v>
      </c>
      <c r="M7" s="500">
        <v>-0.28867513459481275</v>
      </c>
      <c r="N7" s="816">
        <v>-0.28867513459481275</v>
      </c>
      <c r="O7" s="38">
        <v>1</v>
      </c>
      <c r="P7" s="815">
        <v>0</v>
      </c>
      <c r="Q7" s="815">
        <v>0</v>
      </c>
      <c r="R7" s="815">
        <v>0</v>
      </c>
      <c r="S7" s="669">
        <v>-1</v>
      </c>
      <c r="T7" s="814">
        <v>-0.28867513459481275</v>
      </c>
      <c r="U7" s="813">
        <v>-0.28867513459481275</v>
      </c>
      <c r="V7" s="87">
        <v>1</v>
      </c>
      <c r="W7" s="40">
        <v>0</v>
      </c>
      <c r="X7" s="40">
        <v>0</v>
      </c>
      <c r="Y7" s="40">
        <v>0</v>
      </c>
      <c r="Z7" s="39">
        <v>-1</v>
      </c>
      <c r="AA7" s="500">
        <v>-0.73401367628909586</v>
      </c>
      <c r="AB7" s="816">
        <v>-0.73401367628909586</v>
      </c>
      <c r="AC7" s="38">
        <v>1</v>
      </c>
      <c r="AD7" s="815">
        <v>0</v>
      </c>
      <c r="AE7" s="815">
        <v>0</v>
      </c>
      <c r="AF7" s="815">
        <v>0</v>
      </c>
      <c r="AG7" s="669">
        <v>-1</v>
      </c>
      <c r="AH7" s="814">
        <v>-0.73029674334022143</v>
      </c>
      <c r="AI7" s="813">
        <v>-0.73029674334022143</v>
      </c>
    </row>
    <row r="8" spans="1:35">
      <c r="A8" s="667">
        <v>1</v>
      </c>
      <c r="B8" s="802">
        <v>0</v>
      </c>
      <c r="C8" s="802">
        <v>0</v>
      </c>
      <c r="D8" s="802">
        <f>B8*C8</f>
        <v>0</v>
      </c>
      <c r="E8" s="667">
        <v>-1</v>
      </c>
      <c r="F8" s="811">
        <f>B8^2-2/3</f>
        <v>-0.66666666666666663</v>
      </c>
      <c r="G8" s="810">
        <f>C8^2-2/3</f>
        <v>-0.66666666666666663</v>
      </c>
      <c r="H8" s="95">
        <v>0.28867513459481298</v>
      </c>
      <c r="I8" s="96">
        <v>0</v>
      </c>
      <c r="J8" s="96">
        <v>0</v>
      </c>
      <c r="K8" s="95">
        <v>0</v>
      </c>
      <c r="L8" s="95">
        <v>-0.28867513459481275</v>
      </c>
      <c r="M8" s="498">
        <v>-0.28867513459481275</v>
      </c>
      <c r="N8" s="812">
        <v>-0.28867513459481275</v>
      </c>
      <c r="O8" s="63">
        <v>1</v>
      </c>
      <c r="P8" s="802">
        <v>0</v>
      </c>
      <c r="Q8" s="802">
        <v>0</v>
      </c>
      <c r="R8" s="802">
        <v>0</v>
      </c>
      <c r="S8" s="667">
        <v>-1</v>
      </c>
      <c r="T8" s="811">
        <v>-0.28867513459481275</v>
      </c>
      <c r="U8" s="810">
        <v>-0.28867513459481275</v>
      </c>
      <c r="V8" s="75">
        <v>1</v>
      </c>
      <c r="W8" s="96">
        <v>0</v>
      </c>
      <c r="X8" s="96">
        <v>0</v>
      </c>
      <c r="Y8" s="96">
        <v>0</v>
      </c>
      <c r="Z8" s="95">
        <v>-1</v>
      </c>
      <c r="AA8" s="498">
        <v>-0.73401367628909586</v>
      </c>
      <c r="AB8" s="812">
        <v>-0.73401367628909586</v>
      </c>
      <c r="AC8" s="63">
        <v>1</v>
      </c>
      <c r="AD8" s="802">
        <v>0</v>
      </c>
      <c r="AE8" s="802">
        <v>0</v>
      </c>
      <c r="AF8" s="802">
        <v>0</v>
      </c>
      <c r="AG8" s="667">
        <v>-1</v>
      </c>
      <c r="AH8" s="811">
        <v>-0.73029674334022143</v>
      </c>
      <c r="AI8" s="810">
        <v>-0.73029674334022143</v>
      </c>
    </row>
    <row r="9" spans="1:35">
      <c r="A9" s="669">
        <v>1</v>
      </c>
      <c r="B9" s="824">
        <f>-SQRT(2)</f>
        <v>-1.4142135623730951</v>
      </c>
      <c r="C9" s="815">
        <v>0</v>
      </c>
      <c r="D9" s="815">
        <v>0</v>
      </c>
      <c r="E9" s="669">
        <v>1</v>
      </c>
      <c r="F9" s="814">
        <f>B9^2-2/3</f>
        <v>1.3333333333333339</v>
      </c>
      <c r="G9" s="813">
        <f>C9^2-2/3</f>
        <v>-0.66666666666666663</v>
      </c>
      <c r="H9" s="39">
        <v>0.28867513459481281</v>
      </c>
      <c r="I9" s="765">
        <v>-0.50000000000000011</v>
      </c>
      <c r="J9" s="40">
        <v>0</v>
      </c>
      <c r="K9" s="39">
        <v>0</v>
      </c>
      <c r="L9" s="39">
        <v>0.28867513459481281</v>
      </c>
      <c r="M9" s="500">
        <v>0.49789095789068</v>
      </c>
      <c r="N9" s="816">
        <v>-0.20921582329586724</v>
      </c>
      <c r="O9" s="38">
        <v>1</v>
      </c>
      <c r="P9" s="824">
        <v>-1.4142135623730951</v>
      </c>
      <c r="Q9" s="815">
        <v>0</v>
      </c>
      <c r="R9" s="815">
        <v>0</v>
      </c>
      <c r="S9" s="669">
        <v>1</v>
      </c>
      <c r="T9" s="814">
        <v>0.49789095789068011</v>
      </c>
      <c r="U9" s="813">
        <v>-0.2092158232958671</v>
      </c>
      <c r="V9" s="87">
        <v>1</v>
      </c>
      <c r="W9" s="765">
        <v>-1.4142135623730951</v>
      </c>
      <c r="X9" s="40">
        <v>0</v>
      </c>
      <c r="Y9" s="40">
        <v>0</v>
      </c>
      <c r="Z9" s="39">
        <v>1</v>
      </c>
      <c r="AA9" s="500">
        <v>1.2659863237109046</v>
      </c>
      <c r="AB9" s="816">
        <v>-0.53197264742180805</v>
      </c>
      <c r="AC9" s="38">
        <v>1</v>
      </c>
      <c r="AD9" s="824">
        <v>-1.4142135623730951</v>
      </c>
      <c r="AE9" s="815">
        <v>0</v>
      </c>
      <c r="AF9" s="815">
        <v>0</v>
      </c>
      <c r="AG9" s="669">
        <v>1</v>
      </c>
      <c r="AH9" s="814">
        <v>1.2595755626700271</v>
      </c>
      <c r="AI9" s="813">
        <v>-0.52927881932980481</v>
      </c>
    </row>
    <row r="10" spans="1:35">
      <c r="A10" s="668">
        <v>1</v>
      </c>
      <c r="B10" s="823">
        <v>0</v>
      </c>
      <c r="C10" s="822">
        <f>-SQRT(2)</f>
        <v>-1.4142135623730951</v>
      </c>
      <c r="D10" s="804">
        <v>0</v>
      </c>
      <c r="E10" s="668">
        <v>1</v>
      </c>
      <c r="F10" s="819">
        <f>B10^2-2/3</f>
        <v>-0.66666666666666663</v>
      </c>
      <c r="G10" s="818">
        <f>C10^2-2/3</f>
        <v>1.3333333333333339</v>
      </c>
      <c r="H10" s="448">
        <v>0.28867513459481281</v>
      </c>
      <c r="I10" s="762">
        <v>0</v>
      </c>
      <c r="J10" s="761">
        <v>-0.50000000000000011</v>
      </c>
      <c r="K10" s="448">
        <v>0</v>
      </c>
      <c r="L10" s="448">
        <v>0.28867513459481281</v>
      </c>
      <c r="M10" s="499">
        <v>-0.20921582329586727</v>
      </c>
      <c r="N10" s="821">
        <v>0.49789095789067994</v>
      </c>
      <c r="O10" s="34">
        <v>1</v>
      </c>
      <c r="P10" s="823">
        <v>0</v>
      </c>
      <c r="Q10" s="822">
        <v>-1.4142135623730951</v>
      </c>
      <c r="R10" s="804">
        <v>0</v>
      </c>
      <c r="S10" s="668">
        <v>1</v>
      </c>
      <c r="T10" s="819">
        <v>-0.2092158232958671</v>
      </c>
      <c r="U10" s="818">
        <v>0.49789095789068011</v>
      </c>
      <c r="V10" s="89">
        <v>1</v>
      </c>
      <c r="W10" s="762">
        <v>0</v>
      </c>
      <c r="X10" s="761">
        <v>-1.4142135623730951</v>
      </c>
      <c r="Y10" s="94">
        <v>0</v>
      </c>
      <c r="Z10" s="448">
        <v>1</v>
      </c>
      <c r="AA10" s="499">
        <v>-0.53197264742180805</v>
      </c>
      <c r="AB10" s="821">
        <v>1.2659863237109046</v>
      </c>
      <c r="AC10" s="34">
        <v>1</v>
      </c>
      <c r="AD10" s="823">
        <v>0</v>
      </c>
      <c r="AE10" s="822">
        <v>-1.4142135623730951</v>
      </c>
      <c r="AF10" s="804">
        <v>0</v>
      </c>
      <c r="AG10" s="668">
        <v>1</v>
      </c>
      <c r="AH10" s="819">
        <v>-0.52927881932980481</v>
      </c>
      <c r="AI10" s="818">
        <v>1.2595755626700271</v>
      </c>
    </row>
    <row r="11" spans="1:35">
      <c r="A11" s="668">
        <v>1</v>
      </c>
      <c r="B11" s="804">
        <v>0</v>
      </c>
      <c r="C11" s="820">
        <f>SQRT(2)</f>
        <v>1.4142135623730951</v>
      </c>
      <c r="D11" s="804">
        <v>0</v>
      </c>
      <c r="E11" s="668">
        <v>1</v>
      </c>
      <c r="F11" s="819">
        <f>B11^2-2/3</f>
        <v>-0.66666666666666663</v>
      </c>
      <c r="G11" s="818">
        <f>C11^2-2/3</f>
        <v>1.3333333333333339</v>
      </c>
      <c r="H11" s="448">
        <v>0.28867513459481281</v>
      </c>
      <c r="I11" s="94">
        <v>0</v>
      </c>
      <c r="J11" s="760">
        <v>0.50000000000000011</v>
      </c>
      <c r="K11" s="448">
        <v>0</v>
      </c>
      <c r="L11" s="448">
        <v>0.28867513459481281</v>
      </c>
      <c r="M11" s="499">
        <v>-0.20921582329586727</v>
      </c>
      <c r="N11" s="821">
        <v>0.49789095789067994</v>
      </c>
      <c r="O11" s="34">
        <v>1</v>
      </c>
      <c r="P11" s="804">
        <v>0</v>
      </c>
      <c r="Q11" s="820">
        <v>1.4142135623730951</v>
      </c>
      <c r="R11" s="804">
        <v>0</v>
      </c>
      <c r="S11" s="668">
        <v>1</v>
      </c>
      <c r="T11" s="819">
        <v>-0.2092158232958671</v>
      </c>
      <c r="U11" s="818">
        <v>0.49789095789068011</v>
      </c>
      <c r="V11" s="89">
        <v>1</v>
      </c>
      <c r="W11" s="94">
        <v>0</v>
      </c>
      <c r="X11" s="760">
        <v>1.4142135623730951</v>
      </c>
      <c r="Y11" s="94">
        <v>0</v>
      </c>
      <c r="Z11" s="448">
        <v>1</v>
      </c>
      <c r="AA11" s="499">
        <v>-0.53197264742180805</v>
      </c>
      <c r="AB11" s="821">
        <v>1.2659863237109046</v>
      </c>
      <c r="AC11" s="34">
        <v>1</v>
      </c>
      <c r="AD11" s="804">
        <v>0</v>
      </c>
      <c r="AE11" s="820">
        <v>1.4142135623730951</v>
      </c>
      <c r="AF11" s="804">
        <v>0</v>
      </c>
      <c r="AG11" s="668">
        <v>1</v>
      </c>
      <c r="AH11" s="819">
        <v>-0.52927881932980481</v>
      </c>
      <c r="AI11" s="818">
        <v>1.2595755626700271</v>
      </c>
    </row>
    <row r="12" spans="1:35">
      <c r="A12" s="667">
        <v>1</v>
      </c>
      <c r="B12" s="817">
        <f>SQRT(2)</f>
        <v>1.4142135623730951</v>
      </c>
      <c r="C12" s="802">
        <v>0</v>
      </c>
      <c r="D12" s="802">
        <v>0</v>
      </c>
      <c r="E12" s="667">
        <v>1</v>
      </c>
      <c r="F12" s="811">
        <f>B12^2-2/3</f>
        <v>1.3333333333333339</v>
      </c>
      <c r="G12" s="810">
        <f>C12^2-2/3</f>
        <v>-0.66666666666666663</v>
      </c>
      <c r="H12" s="95">
        <v>0.28867513459481281</v>
      </c>
      <c r="I12" s="757">
        <v>0.50000000000000011</v>
      </c>
      <c r="J12" s="96">
        <v>0</v>
      </c>
      <c r="K12" s="95">
        <v>0</v>
      </c>
      <c r="L12" s="95">
        <v>0.28867513459481281</v>
      </c>
      <c r="M12" s="498">
        <v>0.49789095789068</v>
      </c>
      <c r="N12" s="812">
        <v>-0.20921582329586724</v>
      </c>
      <c r="O12" s="63">
        <v>1</v>
      </c>
      <c r="P12" s="817">
        <v>1.4142135623730951</v>
      </c>
      <c r="Q12" s="802">
        <v>0</v>
      </c>
      <c r="R12" s="802">
        <v>0</v>
      </c>
      <c r="S12" s="667">
        <v>1</v>
      </c>
      <c r="T12" s="811">
        <v>0.49789095789068011</v>
      </c>
      <c r="U12" s="810">
        <v>-0.2092158232958671</v>
      </c>
      <c r="V12" s="75">
        <v>1</v>
      </c>
      <c r="W12" s="757">
        <v>1.4142135623730951</v>
      </c>
      <c r="X12" s="96">
        <v>0</v>
      </c>
      <c r="Y12" s="96">
        <v>0</v>
      </c>
      <c r="Z12" s="95">
        <v>1</v>
      </c>
      <c r="AA12" s="498">
        <v>1.2659863237109046</v>
      </c>
      <c r="AB12" s="812">
        <v>-0.53197264742180805</v>
      </c>
      <c r="AC12" s="63">
        <v>1</v>
      </c>
      <c r="AD12" s="817">
        <v>1.4142135623730951</v>
      </c>
      <c r="AE12" s="802">
        <v>0</v>
      </c>
      <c r="AF12" s="802">
        <v>0</v>
      </c>
      <c r="AG12" s="667">
        <v>1</v>
      </c>
      <c r="AH12" s="811">
        <v>1.2595755626700271</v>
      </c>
      <c r="AI12" s="810">
        <v>-0.52927881932980481</v>
      </c>
    </row>
    <row r="13" spans="1:35">
      <c r="A13" s="669">
        <v>1</v>
      </c>
      <c r="B13" s="815">
        <v>0</v>
      </c>
      <c r="C13" s="815">
        <v>0</v>
      </c>
      <c r="D13" s="815">
        <f>B13*C13</f>
        <v>0</v>
      </c>
      <c r="E13" s="669">
        <v>1</v>
      </c>
      <c r="F13" s="814">
        <f>B13^2-2/3</f>
        <v>-0.66666666666666663</v>
      </c>
      <c r="G13" s="813">
        <f>C13^2-2/3</f>
        <v>-0.66666666666666663</v>
      </c>
      <c r="H13" s="39">
        <v>0.28867513459481298</v>
      </c>
      <c r="I13" s="40">
        <v>0</v>
      </c>
      <c r="J13" s="40">
        <v>0</v>
      </c>
      <c r="K13" s="39">
        <v>0</v>
      </c>
      <c r="L13" s="39">
        <v>0.28867513459481298</v>
      </c>
      <c r="M13" s="500">
        <v>-0.28867513459481292</v>
      </c>
      <c r="N13" s="816">
        <v>-0.28867513459481287</v>
      </c>
      <c r="O13" s="38">
        <v>1</v>
      </c>
      <c r="P13" s="815">
        <v>0</v>
      </c>
      <c r="Q13" s="815">
        <v>0</v>
      </c>
      <c r="R13" s="815">
        <v>0</v>
      </c>
      <c r="S13" s="669">
        <v>1</v>
      </c>
      <c r="T13" s="814">
        <v>-0.28867513459481275</v>
      </c>
      <c r="U13" s="813">
        <v>-0.28867513459481275</v>
      </c>
      <c r="V13" s="87">
        <v>1</v>
      </c>
      <c r="W13" s="40">
        <v>0</v>
      </c>
      <c r="X13" s="40">
        <v>0</v>
      </c>
      <c r="Y13" s="40">
        <v>0</v>
      </c>
      <c r="Z13" s="39">
        <v>1</v>
      </c>
      <c r="AA13" s="500">
        <v>-0.73401367628909586</v>
      </c>
      <c r="AB13" s="816">
        <v>-0.73401367628909586</v>
      </c>
      <c r="AC13" s="38">
        <v>1</v>
      </c>
      <c r="AD13" s="815">
        <v>0</v>
      </c>
      <c r="AE13" s="815">
        <v>0</v>
      </c>
      <c r="AF13" s="815">
        <v>0</v>
      </c>
      <c r="AG13" s="669">
        <v>1</v>
      </c>
      <c r="AH13" s="814">
        <v>-0.73029674334022143</v>
      </c>
      <c r="AI13" s="813">
        <v>-0.73029674334022143</v>
      </c>
    </row>
    <row r="14" spans="1:35">
      <c r="A14" s="667">
        <v>1</v>
      </c>
      <c r="B14" s="802">
        <v>0</v>
      </c>
      <c r="C14" s="802">
        <v>0</v>
      </c>
      <c r="D14" s="802">
        <f>B14*C14</f>
        <v>0</v>
      </c>
      <c r="E14" s="667">
        <v>1</v>
      </c>
      <c r="F14" s="811">
        <f>B14^2-2/3</f>
        <v>-0.66666666666666663</v>
      </c>
      <c r="G14" s="810">
        <f>C14^2-2/3</f>
        <v>-0.66666666666666663</v>
      </c>
      <c r="H14" s="95">
        <v>0.28867513459481298</v>
      </c>
      <c r="I14" s="96">
        <v>0</v>
      </c>
      <c r="J14" s="96">
        <v>0</v>
      </c>
      <c r="K14" s="95">
        <v>0</v>
      </c>
      <c r="L14" s="95">
        <v>0.28867513459481298</v>
      </c>
      <c r="M14" s="498">
        <v>-0.28867513459481292</v>
      </c>
      <c r="N14" s="812">
        <v>-0.28867513459481287</v>
      </c>
      <c r="O14" s="63">
        <v>1</v>
      </c>
      <c r="P14" s="802">
        <v>0</v>
      </c>
      <c r="Q14" s="802">
        <v>0</v>
      </c>
      <c r="R14" s="802">
        <v>0</v>
      </c>
      <c r="S14" s="667">
        <v>1</v>
      </c>
      <c r="T14" s="811">
        <v>-0.28867513459481275</v>
      </c>
      <c r="U14" s="810">
        <v>-0.28867513459481275</v>
      </c>
      <c r="V14" s="75">
        <v>1</v>
      </c>
      <c r="W14" s="96">
        <v>0</v>
      </c>
      <c r="X14" s="96">
        <v>0</v>
      </c>
      <c r="Y14" s="96">
        <v>0</v>
      </c>
      <c r="Z14" s="95">
        <v>1</v>
      </c>
      <c r="AA14" s="498">
        <v>-0.73401367628909586</v>
      </c>
      <c r="AB14" s="812">
        <v>-0.73401367628909586</v>
      </c>
      <c r="AC14" s="63">
        <v>1</v>
      </c>
      <c r="AD14" s="802">
        <v>0</v>
      </c>
      <c r="AE14" s="802">
        <v>0</v>
      </c>
      <c r="AF14" s="802">
        <v>0</v>
      </c>
      <c r="AG14" s="667">
        <v>1</v>
      </c>
      <c r="AH14" s="811">
        <v>-0.73029674334022143</v>
      </c>
      <c r="AI14" s="810">
        <v>-0.73029674334022143</v>
      </c>
    </row>
    <row r="15" spans="1:35" ht="19.5">
      <c r="A15" s="652" t="s">
        <v>269</v>
      </c>
      <c r="B15" s="809"/>
      <c r="C15" s="809"/>
      <c r="D15" s="809"/>
      <c r="E15" s="809"/>
      <c r="F15" s="809"/>
      <c r="G15" s="808"/>
      <c r="H15" s="567" t="s">
        <v>284</v>
      </c>
      <c r="I15" s="568"/>
      <c r="J15" s="568"/>
      <c r="K15" s="568"/>
      <c r="L15" s="568"/>
      <c r="M15" s="568"/>
      <c r="N15" s="570"/>
      <c r="O15" s="652" t="s">
        <v>283</v>
      </c>
      <c r="P15" s="809"/>
      <c r="Q15" s="809"/>
      <c r="R15" s="809"/>
      <c r="S15" s="809"/>
      <c r="T15" s="809"/>
      <c r="U15" s="808"/>
      <c r="V15" s="567" t="s">
        <v>282</v>
      </c>
      <c r="W15" s="568"/>
      <c r="X15" s="568"/>
      <c r="Y15" s="568"/>
      <c r="Z15" s="568"/>
      <c r="AA15" s="568"/>
      <c r="AB15" s="570"/>
      <c r="AC15" s="652" t="s">
        <v>281</v>
      </c>
      <c r="AD15" s="809"/>
      <c r="AE15" s="809"/>
      <c r="AF15" s="809"/>
      <c r="AG15" s="809"/>
      <c r="AH15" s="809"/>
      <c r="AI15" s="808"/>
    </row>
    <row r="16" spans="1:35">
      <c r="A16" s="756">
        <v>0</v>
      </c>
      <c r="B16" s="807">
        <v>1</v>
      </c>
      <c r="C16" s="807">
        <v>2</v>
      </c>
      <c r="D16" s="756">
        <v>12</v>
      </c>
      <c r="E16" s="756" t="s">
        <v>1</v>
      </c>
      <c r="F16" s="807">
        <v>11</v>
      </c>
      <c r="G16" s="796">
        <v>22</v>
      </c>
      <c r="H16" s="524">
        <v>0</v>
      </c>
      <c r="I16" s="464">
        <v>1</v>
      </c>
      <c r="J16" s="464">
        <v>2</v>
      </c>
      <c r="K16" s="524">
        <v>12</v>
      </c>
      <c r="L16" s="524" t="s">
        <v>1</v>
      </c>
      <c r="M16" s="464">
        <v>11</v>
      </c>
      <c r="N16" s="454">
        <v>22</v>
      </c>
      <c r="O16" s="756">
        <v>0</v>
      </c>
      <c r="P16" s="807">
        <v>1</v>
      </c>
      <c r="Q16" s="807">
        <v>2</v>
      </c>
      <c r="R16" s="756">
        <v>12</v>
      </c>
      <c r="S16" s="756" t="s">
        <v>1</v>
      </c>
      <c r="T16" s="807">
        <v>11</v>
      </c>
      <c r="U16" s="796">
        <v>22</v>
      </c>
      <c r="V16" s="524">
        <v>0</v>
      </c>
      <c r="W16" s="464">
        <v>1</v>
      </c>
      <c r="X16" s="464">
        <v>2</v>
      </c>
      <c r="Y16" s="524">
        <v>12</v>
      </c>
      <c r="Z16" s="524" t="s">
        <v>1</v>
      </c>
      <c r="AA16" s="464">
        <v>11</v>
      </c>
      <c r="AB16" s="454">
        <v>22</v>
      </c>
      <c r="AC16" s="756">
        <v>0</v>
      </c>
      <c r="AD16" s="807">
        <v>1</v>
      </c>
      <c r="AE16" s="807">
        <v>2</v>
      </c>
      <c r="AF16" s="756">
        <v>12</v>
      </c>
      <c r="AG16" s="756" t="s">
        <v>1</v>
      </c>
      <c r="AH16" s="807">
        <v>11</v>
      </c>
      <c r="AI16" s="796">
        <v>22</v>
      </c>
    </row>
    <row r="17" spans="1:35">
      <c r="A17" s="452">
        <f t="array" ref="A17:G23">MMULT(TRANSPOSE(X),X)</f>
        <v>12</v>
      </c>
      <c r="B17" s="473">
        <v>0</v>
      </c>
      <c r="C17" s="473">
        <v>0</v>
      </c>
      <c r="D17" s="452">
        <v>0</v>
      </c>
      <c r="E17" s="452">
        <v>0</v>
      </c>
      <c r="F17" s="473">
        <v>1.5543122344752192E-15</v>
      </c>
      <c r="G17" s="474">
        <v>1.5543122344752192E-15</v>
      </c>
      <c r="H17" s="670">
        <f t="array" ref="H17:N23">MMULT(TRANSPOSE(W),W)</f>
        <v>0.99999999999999989</v>
      </c>
      <c r="I17" s="806">
        <v>0</v>
      </c>
      <c r="J17" s="806">
        <v>0</v>
      </c>
      <c r="K17" s="670">
        <v>0</v>
      </c>
      <c r="L17" s="670">
        <v>-5.5511151231257827E-17</v>
      </c>
      <c r="M17" s="806">
        <v>-2.4980018054066022E-16</v>
      </c>
      <c r="N17" s="805">
        <v>-2.4980018054066022E-16</v>
      </c>
      <c r="O17" s="452">
        <f t="array" ref="O17:U23">MMULT(TRANSPOSE(W_1),W_1)</f>
        <v>12</v>
      </c>
      <c r="P17" s="473">
        <v>0</v>
      </c>
      <c r="Q17" s="473">
        <v>0</v>
      </c>
      <c r="R17" s="452">
        <v>0</v>
      </c>
      <c r="S17" s="452">
        <v>0</v>
      </c>
      <c r="T17" s="473">
        <v>5.5511151231257827E-16</v>
      </c>
      <c r="U17" s="474">
        <v>5.5511151231257827E-16</v>
      </c>
      <c r="V17" s="670">
        <f t="array" ref="V17:AB23">MMULT(TRANSPOSE(W_2),W_2)</f>
        <v>12</v>
      </c>
      <c r="W17" s="806">
        <v>0</v>
      </c>
      <c r="X17" s="806">
        <v>0</v>
      </c>
      <c r="Y17" s="670">
        <v>0</v>
      </c>
      <c r="Z17" s="670">
        <v>0</v>
      </c>
      <c r="AA17" s="806">
        <v>1.7763568394002505E-15</v>
      </c>
      <c r="AB17" s="805">
        <v>1.9984014443252818E-15</v>
      </c>
      <c r="AC17" s="452">
        <f t="array" ref="AC17:AI23">MMULT(TRANSPOSE(W_2),W_2)</f>
        <v>12</v>
      </c>
      <c r="AD17" s="473">
        <v>0</v>
      </c>
      <c r="AE17" s="473">
        <v>0</v>
      </c>
      <c r="AF17" s="452">
        <v>0</v>
      </c>
      <c r="AG17" s="452">
        <v>0</v>
      </c>
      <c r="AH17" s="473">
        <v>1.7763568394002505E-15</v>
      </c>
      <c r="AI17" s="474">
        <v>1.9984014443252818E-15</v>
      </c>
    </row>
    <row r="18" spans="1:35">
      <c r="A18" s="448">
        <v>0</v>
      </c>
      <c r="B18" s="94">
        <v>8</v>
      </c>
      <c r="C18" s="94">
        <v>0</v>
      </c>
      <c r="D18" s="448">
        <v>0</v>
      </c>
      <c r="E18" s="448">
        <v>0</v>
      </c>
      <c r="F18" s="94">
        <v>0</v>
      </c>
      <c r="G18" s="475">
        <v>0</v>
      </c>
      <c r="H18" s="668">
        <v>0</v>
      </c>
      <c r="I18" s="804">
        <v>1.0000000000000004</v>
      </c>
      <c r="J18" s="804">
        <v>0</v>
      </c>
      <c r="K18" s="668">
        <v>0</v>
      </c>
      <c r="L18" s="668">
        <v>0</v>
      </c>
      <c r="M18" s="804">
        <v>0</v>
      </c>
      <c r="N18" s="803">
        <v>0</v>
      </c>
      <c r="O18" s="448">
        <v>0</v>
      </c>
      <c r="P18" s="94">
        <v>8</v>
      </c>
      <c r="Q18" s="94">
        <v>0</v>
      </c>
      <c r="R18" s="448">
        <v>0</v>
      </c>
      <c r="S18" s="448">
        <v>0</v>
      </c>
      <c r="T18" s="94">
        <v>0</v>
      </c>
      <c r="U18" s="475">
        <v>0</v>
      </c>
      <c r="V18" s="668">
        <v>0</v>
      </c>
      <c r="W18" s="804">
        <v>8</v>
      </c>
      <c r="X18" s="804">
        <v>0</v>
      </c>
      <c r="Y18" s="668">
        <v>0</v>
      </c>
      <c r="Z18" s="668">
        <v>0</v>
      </c>
      <c r="AA18" s="804">
        <v>0</v>
      </c>
      <c r="AB18" s="803">
        <v>0</v>
      </c>
      <c r="AC18" s="448">
        <v>0</v>
      </c>
      <c r="AD18" s="94">
        <v>8</v>
      </c>
      <c r="AE18" s="94">
        <v>0</v>
      </c>
      <c r="AF18" s="448">
        <v>0</v>
      </c>
      <c r="AG18" s="448">
        <v>0</v>
      </c>
      <c r="AH18" s="94">
        <v>0</v>
      </c>
      <c r="AI18" s="475">
        <v>0</v>
      </c>
    </row>
    <row r="19" spans="1:35">
      <c r="A19" s="448">
        <v>0</v>
      </c>
      <c r="B19" s="94">
        <v>0</v>
      </c>
      <c r="C19" s="94">
        <v>8</v>
      </c>
      <c r="D19" s="448">
        <v>0</v>
      </c>
      <c r="E19" s="448">
        <v>0</v>
      </c>
      <c r="F19" s="94">
        <v>0</v>
      </c>
      <c r="G19" s="475">
        <v>0</v>
      </c>
      <c r="H19" s="668">
        <v>0</v>
      </c>
      <c r="I19" s="804">
        <v>0</v>
      </c>
      <c r="J19" s="804">
        <v>1.0000000000000004</v>
      </c>
      <c r="K19" s="668">
        <v>0</v>
      </c>
      <c r="L19" s="668">
        <v>0</v>
      </c>
      <c r="M19" s="804">
        <v>0</v>
      </c>
      <c r="N19" s="803">
        <v>0</v>
      </c>
      <c r="O19" s="448">
        <v>0</v>
      </c>
      <c r="P19" s="94">
        <v>0</v>
      </c>
      <c r="Q19" s="94">
        <v>8</v>
      </c>
      <c r="R19" s="448">
        <v>0</v>
      </c>
      <c r="S19" s="448">
        <v>0</v>
      </c>
      <c r="T19" s="94">
        <v>0</v>
      </c>
      <c r="U19" s="475">
        <v>0</v>
      </c>
      <c r="V19" s="668">
        <v>0</v>
      </c>
      <c r="W19" s="804">
        <v>0</v>
      </c>
      <c r="X19" s="804">
        <v>8</v>
      </c>
      <c r="Y19" s="668">
        <v>0</v>
      </c>
      <c r="Z19" s="668">
        <v>0</v>
      </c>
      <c r="AA19" s="804">
        <v>0</v>
      </c>
      <c r="AB19" s="803">
        <v>0</v>
      </c>
      <c r="AC19" s="448">
        <v>0</v>
      </c>
      <c r="AD19" s="94">
        <v>0</v>
      </c>
      <c r="AE19" s="94">
        <v>8</v>
      </c>
      <c r="AF19" s="448">
        <v>0</v>
      </c>
      <c r="AG19" s="448">
        <v>0</v>
      </c>
      <c r="AH19" s="94">
        <v>0</v>
      </c>
      <c r="AI19" s="475">
        <v>0</v>
      </c>
    </row>
    <row r="20" spans="1:35">
      <c r="A20" s="452">
        <v>0</v>
      </c>
      <c r="B20" s="473">
        <v>0</v>
      </c>
      <c r="C20" s="473">
        <v>0</v>
      </c>
      <c r="D20" s="452">
        <v>4</v>
      </c>
      <c r="E20" s="452">
        <v>0</v>
      </c>
      <c r="F20" s="473">
        <v>0</v>
      </c>
      <c r="G20" s="474">
        <v>0</v>
      </c>
      <c r="H20" s="670">
        <v>0</v>
      </c>
      <c r="I20" s="806">
        <v>0</v>
      </c>
      <c r="J20" s="806">
        <v>0</v>
      </c>
      <c r="K20" s="670">
        <v>1</v>
      </c>
      <c r="L20" s="670">
        <v>0</v>
      </c>
      <c r="M20" s="806">
        <v>0</v>
      </c>
      <c r="N20" s="805">
        <v>0</v>
      </c>
      <c r="O20" s="452">
        <v>0</v>
      </c>
      <c r="P20" s="473">
        <v>0</v>
      </c>
      <c r="Q20" s="473">
        <v>0</v>
      </c>
      <c r="R20" s="452">
        <v>4</v>
      </c>
      <c r="S20" s="452">
        <v>0</v>
      </c>
      <c r="T20" s="473">
        <v>0</v>
      </c>
      <c r="U20" s="474">
        <v>0</v>
      </c>
      <c r="V20" s="670">
        <v>0</v>
      </c>
      <c r="W20" s="806">
        <v>0</v>
      </c>
      <c r="X20" s="806">
        <v>0</v>
      </c>
      <c r="Y20" s="670">
        <v>4</v>
      </c>
      <c r="Z20" s="670">
        <v>0</v>
      </c>
      <c r="AA20" s="806">
        <v>0</v>
      </c>
      <c r="AB20" s="805">
        <v>0</v>
      </c>
      <c r="AC20" s="452">
        <v>0</v>
      </c>
      <c r="AD20" s="473">
        <v>0</v>
      </c>
      <c r="AE20" s="473">
        <v>0</v>
      </c>
      <c r="AF20" s="452">
        <v>4</v>
      </c>
      <c r="AG20" s="452">
        <v>0</v>
      </c>
      <c r="AH20" s="473">
        <v>0</v>
      </c>
      <c r="AI20" s="474">
        <v>0</v>
      </c>
    </row>
    <row r="21" spans="1:35">
      <c r="A21" s="452">
        <v>0</v>
      </c>
      <c r="B21" s="473">
        <v>0</v>
      </c>
      <c r="C21" s="473">
        <v>0</v>
      </c>
      <c r="D21" s="452">
        <v>0</v>
      </c>
      <c r="E21" s="452">
        <v>12</v>
      </c>
      <c r="F21" s="473">
        <v>1.1102230246251565E-15</v>
      </c>
      <c r="G21" s="474">
        <v>1.1102230246251565E-15</v>
      </c>
      <c r="H21" s="670">
        <v>-5.5511151231257827E-17</v>
      </c>
      <c r="I21" s="806">
        <v>0</v>
      </c>
      <c r="J21" s="806">
        <v>0</v>
      </c>
      <c r="K21" s="670">
        <v>0</v>
      </c>
      <c r="L21" s="670">
        <v>0.99999999999999967</v>
      </c>
      <c r="M21" s="806">
        <v>-2.7755575615628914E-16</v>
      </c>
      <c r="N21" s="805">
        <v>-2.7755575615628914E-16</v>
      </c>
      <c r="O21" s="452">
        <v>0</v>
      </c>
      <c r="P21" s="473">
        <v>0</v>
      </c>
      <c r="Q21" s="473">
        <v>0</v>
      </c>
      <c r="R21" s="452">
        <v>0</v>
      </c>
      <c r="S21" s="452">
        <v>12</v>
      </c>
      <c r="T21" s="473">
        <v>3.3306690738754696E-16</v>
      </c>
      <c r="U21" s="474">
        <v>3.3306690738754696E-16</v>
      </c>
      <c r="V21" s="670">
        <v>0</v>
      </c>
      <c r="W21" s="806">
        <v>0</v>
      </c>
      <c r="X21" s="806">
        <v>0</v>
      </c>
      <c r="Y21" s="670">
        <v>0</v>
      </c>
      <c r="Z21" s="670">
        <v>12</v>
      </c>
      <c r="AA21" s="806">
        <v>8.8817841970012523E-16</v>
      </c>
      <c r="AB21" s="805">
        <v>1.1102230246251565E-15</v>
      </c>
      <c r="AC21" s="452">
        <v>0</v>
      </c>
      <c r="AD21" s="473">
        <v>0</v>
      </c>
      <c r="AE21" s="473">
        <v>0</v>
      </c>
      <c r="AF21" s="452">
        <v>0</v>
      </c>
      <c r="AG21" s="452">
        <v>12</v>
      </c>
      <c r="AH21" s="473">
        <v>8.8817841970012523E-16</v>
      </c>
      <c r="AI21" s="474">
        <v>1.1102230246251565E-15</v>
      </c>
    </row>
    <row r="22" spans="1:35">
      <c r="A22" s="448">
        <v>1.5543122344752192E-15</v>
      </c>
      <c r="B22" s="94">
        <v>0</v>
      </c>
      <c r="C22" s="94">
        <v>0</v>
      </c>
      <c r="D22" s="448">
        <v>0</v>
      </c>
      <c r="E22" s="448">
        <v>1.1102230246251565E-15</v>
      </c>
      <c r="F22" s="94">
        <v>6.6666666666666705</v>
      </c>
      <c r="G22" s="475">
        <v>-1.3333333333333348</v>
      </c>
      <c r="H22" s="668">
        <v>-2.4980018054066022E-16</v>
      </c>
      <c r="I22" s="804">
        <v>0</v>
      </c>
      <c r="J22" s="804">
        <v>0</v>
      </c>
      <c r="K22" s="668">
        <v>0</v>
      </c>
      <c r="L22" s="668">
        <v>-2.7755575615628914E-16</v>
      </c>
      <c r="M22" s="804">
        <v>0.99999999999999956</v>
      </c>
      <c r="N22" s="803">
        <v>1.1102230246251565E-16</v>
      </c>
      <c r="O22" s="448">
        <v>5.5511151231257827E-16</v>
      </c>
      <c r="P22" s="94">
        <v>0</v>
      </c>
      <c r="Q22" s="94">
        <v>0</v>
      </c>
      <c r="R22" s="448">
        <v>0</v>
      </c>
      <c r="S22" s="448">
        <v>3.3306690738754696E-16</v>
      </c>
      <c r="T22" s="94">
        <v>0.99999999999999933</v>
      </c>
      <c r="U22" s="475">
        <v>1.6653345369377348E-16</v>
      </c>
      <c r="V22" s="668">
        <v>1.7763568394002505E-15</v>
      </c>
      <c r="W22" s="804">
        <v>0</v>
      </c>
      <c r="X22" s="804">
        <v>0</v>
      </c>
      <c r="Y22" s="668">
        <v>0</v>
      </c>
      <c r="Z22" s="668">
        <v>8.8817841970012523E-16</v>
      </c>
      <c r="AA22" s="804">
        <v>6.4653129237532063</v>
      </c>
      <c r="AB22" s="803">
        <v>6.6613381477509392E-16</v>
      </c>
      <c r="AC22" s="448">
        <v>1.7763568394002505E-15</v>
      </c>
      <c r="AD22" s="94">
        <v>0</v>
      </c>
      <c r="AE22" s="94">
        <v>0</v>
      </c>
      <c r="AF22" s="448">
        <v>0</v>
      </c>
      <c r="AG22" s="448">
        <v>8.8817841970012523E-16</v>
      </c>
      <c r="AH22" s="94">
        <v>6.4653129237532063</v>
      </c>
      <c r="AI22" s="475">
        <v>6.6613381477509392E-16</v>
      </c>
    </row>
    <row r="23" spans="1:35">
      <c r="A23" s="95">
        <v>1.5543122344752192E-15</v>
      </c>
      <c r="B23" s="96">
        <v>0</v>
      </c>
      <c r="C23" s="96">
        <v>0</v>
      </c>
      <c r="D23" s="95">
        <v>0</v>
      </c>
      <c r="E23" s="95">
        <v>1.1102230246251565E-15</v>
      </c>
      <c r="F23" s="96">
        <v>-1.3333333333333348</v>
      </c>
      <c r="G23" s="97">
        <v>6.6666666666666705</v>
      </c>
      <c r="H23" s="667">
        <v>-2.4980018054066022E-16</v>
      </c>
      <c r="I23" s="802">
        <v>0</v>
      </c>
      <c r="J23" s="802">
        <v>0</v>
      </c>
      <c r="K23" s="667">
        <v>0</v>
      </c>
      <c r="L23" s="667">
        <v>-2.7755575615628914E-16</v>
      </c>
      <c r="M23" s="802">
        <v>1.1102230246251565E-16</v>
      </c>
      <c r="N23" s="801">
        <v>0.99999999999999933</v>
      </c>
      <c r="O23" s="95">
        <v>5.5511151231257827E-16</v>
      </c>
      <c r="P23" s="96">
        <v>0</v>
      </c>
      <c r="Q23" s="96">
        <v>0</v>
      </c>
      <c r="R23" s="95">
        <v>0</v>
      </c>
      <c r="S23" s="95">
        <v>3.3306690738754696E-16</v>
      </c>
      <c r="T23" s="96">
        <v>1.6653345369377348E-16</v>
      </c>
      <c r="U23" s="97">
        <v>0.99999999999999933</v>
      </c>
      <c r="V23" s="667">
        <v>1.9984014443252818E-15</v>
      </c>
      <c r="W23" s="802">
        <v>0</v>
      </c>
      <c r="X23" s="802">
        <v>0</v>
      </c>
      <c r="Y23" s="667">
        <v>0</v>
      </c>
      <c r="Z23" s="667">
        <v>1.1102230246251565E-15</v>
      </c>
      <c r="AA23" s="802">
        <v>6.6613381477509392E-16</v>
      </c>
      <c r="AB23" s="801">
        <v>6.4653129237532072</v>
      </c>
      <c r="AC23" s="95">
        <v>1.9984014443252818E-15</v>
      </c>
      <c r="AD23" s="96">
        <v>0</v>
      </c>
      <c r="AE23" s="96">
        <v>0</v>
      </c>
      <c r="AF23" s="95">
        <v>0</v>
      </c>
      <c r="AG23" s="95">
        <v>1.1102230246251565E-15</v>
      </c>
      <c r="AH23" s="96">
        <v>6.6613381477509392E-16</v>
      </c>
      <c r="AI23" s="97">
        <v>6.4653129237532072</v>
      </c>
    </row>
    <row r="24" spans="1:35" ht="19.5">
      <c r="A24" s="567" t="s">
        <v>280</v>
      </c>
      <c r="B24" s="568"/>
      <c r="C24" s="568"/>
      <c r="D24" s="568"/>
      <c r="E24" s="568"/>
      <c r="F24" s="568"/>
      <c r="G24" s="570"/>
      <c r="H24" s="652" t="s">
        <v>279</v>
      </c>
      <c r="I24" s="809"/>
      <c r="J24" s="809"/>
      <c r="K24" s="809"/>
      <c r="L24" s="809"/>
      <c r="M24" s="809"/>
      <c r="N24" s="808"/>
      <c r="O24" s="567" t="s">
        <v>278</v>
      </c>
      <c r="P24" s="568"/>
      <c r="Q24" s="568"/>
      <c r="R24" s="568"/>
      <c r="S24" s="568"/>
      <c r="T24" s="568"/>
      <c r="U24" s="570"/>
      <c r="V24" s="652" t="s">
        <v>277</v>
      </c>
      <c r="W24" s="809"/>
      <c r="X24" s="809"/>
      <c r="Y24" s="809"/>
      <c r="Z24" s="809"/>
      <c r="AA24" s="809"/>
      <c r="AB24" s="808"/>
    </row>
    <row r="25" spans="1:35">
      <c r="A25" s="524">
        <v>0</v>
      </c>
      <c r="B25" s="464">
        <v>1</v>
      </c>
      <c r="C25" s="464">
        <v>2</v>
      </c>
      <c r="D25" s="524">
        <v>12</v>
      </c>
      <c r="E25" s="524" t="s">
        <v>1</v>
      </c>
      <c r="F25" s="464">
        <v>11</v>
      </c>
      <c r="G25" s="454">
        <v>22</v>
      </c>
      <c r="H25" s="756">
        <v>0</v>
      </c>
      <c r="I25" s="807">
        <v>1</v>
      </c>
      <c r="J25" s="807">
        <v>2</v>
      </c>
      <c r="K25" s="756">
        <v>12</v>
      </c>
      <c r="L25" s="756" t="s">
        <v>1</v>
      </c>
      <c r="M25" s="807">
        <v>11</v>
      </c>
      <c r="N25" s="796">
        <v>22</v>
      </c>
      <c r="O25" s="524">
        <v>0</v>
      </c>
      <c r="P25" s="464">
        <v>1</v>
      </c>
      <c r="Q25" s="464">
        <v>2</v>
      </c>
      <c r="R25" s="524">
        <v>12</v>
      </c>
      <c r="S25" s="524" t="s">
        <v>1</v>
      </c>
      <c r="T25" s="464">
        <v>11</v>
      </c>
      <c r="U25" s="454">
        <v>22</v>
      </c>
      <c r="V25" s="756">
        <v>0</v>
      </c>
      <c r="W25" s="807">
        <v>1</v>
      </c>
      <c r="X25" s="807">
        <v>2</v>
      </c>
      <c r="Y25" s="756">
        <v>12</v>
      </c>
      <c r="Z25" s="756" t="s">
        <v>1</v>
      </c>
      <c r="AA25" s="807">
        <v>11</v>
      </c>
      <c r="AB25" s="796">
        <v>22</v>
      </c>
    </row>
    <row r="26" spans="1:35">
      <c r="A26" s="670">
        <f t="array" ref="A26:G32">[1]!MSQRT(MINVERSE(A17:G23))</f>
        <v>0.28867513459481287</v>
      </c>
      <c r="B26" s="806">
        <v>0</v>
      </c>
      <c r="C26" s="806">
        <v>0</v>
      </c>
      <c r="D26" s="670">
        <v>0</v>
      </c>
      <c r="E26" s="670">
        <v>2.2644219091658456E-32</v>
      </c>
      <c r="F26" s="806">
        <v>-6.7986997775525899E-17</v>
      </c>
      <c r="G26" s="805">
        <v>-6.7986997775525899E-17</v>
      </c>
      <c r="H26" s="74">
        <v>1</v>
      </c>
      <c r="I26" s="457">
        <v>0</v>
      </c>
      <c r="J26" s="457">
        <v>0</v>
      </c>
      <c r="K26" s="74">
        <v>0</v>
      </c>
      <c r="L26" s="74">
        <v>0</v>
      </c>
      <c r="M26" s="457">
        <v>0</v>
      </c>
      <c r="N26" s="93">
        <v>0</v>
      </c>
      <c r="O26" s="670">
        <v>1</v>
      </c>
      <c r="P26" s="806">
        <v>0</v>
      </c>
      <c r="Q26" s="806">
        <v>0</v>
      </c>
      <c r="R26" s="670">
        <v>0</v>
      </c>
      <c r="S26" s="670">
        <v>0</v>
      </c>
      <c r="T26" s="806">
        <v>0</v>
      </c>
      <c r="U26" s="805">
        <v>0</v>
      </c>
      <c r="V26" s="74">
        <v>1</v>
      </c>
      <c r="W26" s="457">
        <v>0</v>
      </c>
      <c r="X26" s="457">
        <v>0</v>
      </c>
      <c r="Y26" s="74">
        <v>0</v>
      </c>
      <c r="Z26" s="74">
        <v>0</v>
      </c>
      <c r="AA26" s="457">
        <v>0</v>
      </c>
      <c r="AB26" s="93">
        <v>0</v>
      </c>
    </row>
    <row r="27" spans="1:35">
      <c r="A27" s="668">
        <v>0</v>
      </c>
      <c r="B27" s="804">
        <v>0.35355339059327379</v>
      </c>
      <c r="C27" s="804">
        <v>0</v>
      </c>
      <c r="D27" s="668">
        <v>0</v>
      </c>
      <c r="E27" s="668">
        <v>0</v>
      </c>
      <c r="F27" s="804">
        <v>0</v>
      </c>
      <c r="G27" s="803">
        <v>0</v>
      </c>
      <c r="H27" s="450">
        <v>0</v>
      </c>
      <c r="I27" s="1">
        <v>1</v>
      </c>
      <c r="J27" s="1">
        <v>0</v>
      </c>
      <c r="K27" s="450">
        <v>0</v>
      </c>
      <c r="L27" s="450">
        <v>0</v>
      </c>
      <c r="M27" s="1">
        <v>0</v>
      </c>
      <c r="N27" s="90">
        <v>0</v>
      </c>
      <c r="O27" s="668">
        <v>0</v>
      </c>
      <c r="P27" s="804">
        <v>1</v>
      </c>
      <c r="Q27" s="804">
        <v>0</v>
      </c>
      <c r="R27" s="668">
        <v>0</v>
      </c>
      <c r="S27" s="668">
        <v>0</v>
      </c>
      <c r="T27" s="804">
        <v>0</v>
      </c>
      <c r="U27" s="803">
        <v>0</v>
      </c>
      <c r="V27" s="450">
        <v>0</v>
      </c>
      <c r="W27" s="1">
        <v>1</v>
      </c>
      <c r="X27" s="1">
        <v>0</v>
      </c>
      <c r="Y27" s="450">
        <v>0</v>
      </c>
      <c r="Z27" s="450">
        <v>0</v>
      </c>
      <c r="AA27" s="1">
        <v>0</v>
      </c>
      <c r="AB27" s="90">
        <v>0</v>
      </c>
      <c r="AD27"/>
      <c r="AE27"/>
      <c r="AF27"/>
      <c r="AG27"/>
    </row>
    <row r="28" spans="1:35">
      <c r="A28" s="668">
        <v>0</v>
      </c>
      <c r="B28" s="804">
        <v>0</v>
      </c>
      <c r="C28" s="804">
        <v>0.35355339059327379</v>
      </c>
      <c r="D28" s="668">
        <v>0</v>
      </c>
      <c r="E28" s="668">
        <v>0</v>
      </c>
      <c r="F28" s="804">
        <v>0</v>
      </c>
      <c r="G28" s="803">
        <v>0</v>
      </c>
      <c r="H28" s="450">
        <v>0</v>
      </c>
      <c r="I28" s="1">
        <v>0</v>
      </c>
      <c r="J28" s="1">
        <v>1</v>
      </c>
      <c r="K28" s="450">
        <v>0</v>
      </c>
      <c r="L28" s="450">
        <v>0</v>
      </c>
      <c r="M28" s="1">
        <v>0</v>
      </c>
      <c r="N28" s="90">
        <v>0</v>
      </c>
      <c r="O28" s="668">
        <v>0</v>
      </c>
      <c r="P28" s="804">
        <v>0</v>
      </c>
      <c r="Q28" s="804">
        <v>1</v>
      </c>
      <c r="R28" s="668">
        <v>0</v>
      </c>
      <c r="S28" s="668">
        <v>0</v>
      </c>
      <c r="T28" s="804">
        <v>0</v>
      </c>
      <c r="U28" s="803">
        <v>0</v>
      </c>
      <c r="V28" s="450">
        <v>0</v>
      </c>
      <c r="W28" s="1">
        <v>0</v>
      </c>
      <c r="X28" s="1">
        <v>1</v>
      </c>
      <c r="Y28" s="450">
        <v>0</v>
      </c>
      <c r="Z28" s="450">
        <v>0</v>
      </c>
      <c r="AA28" s="1">
        <v>0</v>
      </c>
      <c r="AB28" s="90">
        <v>0</v>
      </c>
      <c r="AD28"/>
      <c r="AE28"/>
      <c r="AF28"/>
      <c r="AG28"/>
    </row>
    <row r="29" spans="1:35">
      <c r="A29" s="670">
        <v>0</v>
      </c>
      <c r="B29" s="806">
        <v>0</v>
      </c>
      <c r="C29" s="806">
        <v>0</v>
      </c>
      <c r="D29" s="670">
        <v>0.5</v>
      </c>
      <c r="E29" s="670">
        <v>0</v>
      </c>
      <c r="F29" s="806">
        <v>0</v>
      </c>
      <c r="G29" s="805">
        <v>0</v>
      </c>
      <c r="H29" s="74">
        <v>0</v>
      </c>
      <c r="I29" s="457">
        <v>0</v>
      </c>
      <c r="J29" s="457">
        <v>0</v>
      </c>
      <c r="K29" s="74">
        <v>1</v>
      </c>
      <c r="L29" s="74">
        <v>0</v>
      </c>
      <c r="M29" s="457">
        <v>0</v>
      </c>
      <c r="N29" s="93">
        <v>0</v>
      </c>
      <c r="O29" s="670">
        <v>0</v>
      </c>
      <c r="P29" s="806">
        <v>0</v>
      </c>
      <c r="Q29" s="806">
        <v>0</v>
      </c>
      <c r="R29" s="670">
        <v>1</v>
      </c>
      <c r="S29" s="670">
        <v>0</v>
      </c>
      <c r="T29" s="806">
        <v>0</v>
      </c>
      <c r="U29" s="805">
        <v>0</v>
      </c>
      <c r="V29" s="74">
        <v>0</v>
      </c>
      <c r="W29" s="457">
        <v>0</v>
      </c>
      <c r="X29" s="457">
        <v>0</v>
      </c>
      <c r="Y29" s="74">
        <v>1</v>
      </c>
      <c r="Z29" s="74">
        <v>0</v>
      </c>
      <c r="AA29" s="457">
        <v>0</v>
      </c>
      <c r="AB29" s="93">
        <v>0</v>
      </c>
      <c r="AD29"/>
      <c r="AE29"/>
      <c r="AF29"/>
      <c r="AG29"/>
    </row>
    <row r="30" spans="1:35">
      <c r="A30" s="670">
        <v>2.2644219091658456E-32</v>
      </c>
      <c r="B30" s="806">
        <v>0</v>
      </c>
      <c r="C30" s="806">
        <v>0</v>
      </c>
      <c r="D30" s="670">
        <v>0</v>
      </c>
      <c r="E30" s="670">
        <v>0.28867513459481287</v>
      </c>
      <c r="F30" s="806">
        <v>-7.2111100739383649E-17</v>
      </c>
      <c r="G30" s="805">
        <v>-7.2111100739383649E-17</v>
      </c>
      <c r="H30" s="74">
        <v>0</v>
      </c>
      <c r="I30" s="457">
        <v>0</v>
      </c>
      <c r="J30" s="457">
        <v>0</v>
      </c>
      <c r="K30" s="74">
        <v>0</v>
      </c>
      <c r="L30" s="74">
        <v>1</v>
      </c>
      <c r="M30" s="457">
        <v>0</v>
      </c>
      <c r="N30" s="93">
        <v>0</v>
      </c>
      <c r="O30" s="670">
        <v>0</v>
      </c>
      <c r="P30" s="806">
        <v>0</v>
      </c>
      <c r="Q30" s="806">
        <v>0</v>
      </c>
      <c r="R30" s="670">
        <v>0</v>
      </c>
      <c r="S30" s="670">
        <v>1</v>
      </c>
      <c r="T30" s="806">
        <v>0</v>
      </c>
      <c r="U30" s="805">
        <v>0</v>
      </c>
      <c r="V30" s="74">
        <v>0</v>
      </c>
      <c r="W30" s="457">
        <v>0</v>
      </c>
      <c r="X30" s="457">
        <v>0</v>
      </c>
      <c r="Y30" s="74">
        <v>0</v>
      </c>
      <c r="Z30" s="74">
        <v>1</v>
      </c>
      <c r="AA30" s="457">
        <v>0</v>
      </c>
      <c r="AB30" s="93">
        <v>0</v>
      </c>
      <c r="AD30"/>
      <c r="AE30"/>
      <c r="AF30"/>
      <c r="AG30"/>
    </row>
    <row r="31" spans="1:35">
      <c r="A31" s="668">
        <v>-6.7986997775525899E-17</v>
      </c>
      <c r="B31" s="804">
        <v>0</v>
      </c>
      <c r="C31" s="804">
        <v>0</v>
      </c>
      <c r="D31" s="668">
        <v>0</v>
      </c>
      <c r="E31" s="668">
        <v>-7.2111100739383649E-17</v>
      </c>
      <c r="F31" s="804">
        <v>0.39328304624274635</v>
      </c>
      <c r="G31" s="803">
        <v>3.9729655649472811E-2</v>
      </c>
      <c r="H31" s="450">
        <v>0</v>
      </c>
      <c r="I31" s="1">
        <v>0</v>
      </c>
      <c r="J31" s="1">
        <v>0</v>
      </c>
      <c r="K31" s="450">
        <v>0</v>
      </c>
      <c r="L31" s="450">
        <v>0</v>
      </c>
      <c r="M31" s="1">
        <f>F31</f>
        <v>0.39328304624274635</v>
      </c>
      <c r="N31" s="90">
        <f>G31</f>
        <v>3.9729655649472811E-2</v>
      </c>
      <c r="O31" s="668">
        <v>0</v>
      </c>
      <c r="P31" s="804">
        <v>0</v>
      </c>
      <c r="Q31" s="804">
        <v>0</v>
      </c>
      <c r="R31" s="668">
        <v>0</v>
      </c>
      <c r="S31" s="668">
        <v>0</v>
      </c>
      <c r="T31" s="804">
        <f>M31/$M$31</f>
        <v>1</v>
      </c>
      <c r="U31" s="803">
        <f>N31/$M$31</f>
        <v>0.10102051443364393</v>
      </c>
      <c r="V31" s="450">
        <v>0</v>
      </c>
      <c r="W31" s="1">
        <v>0</v>
      </c>
      <c r="X31" s="1">
        <v>0</v>
      </c>
      <c r="Y31" s="450">
        <v>0</v>
      </c>
      <c r="Z31" s="450">
        <v>0</v>
      </c>
      <c r="AA31" s="81">
        <f>M31/SQRT(SUMSQ($M$31:$M$32))</f>
        <v>0.99493615300512406</v>
      </c>
      <c r="AB31" s="80">
        <f>N31/SQRT(SUMSQ($M$31:$M$32))</f>
        <v>0.1005089620052083</v>
      </c>
      <c r="AD31"/>
      <c r="AE31"/>
      <c r="AF31"/>
      <c r="AG31"/>
    </row>
    <row r="32" spans="1:35">
      <c r="A32" s="667">
        <v>-6.7986997775525899E-17</v>
      </c>
      <c r="B32" s="802">
        <v>0</v>
      </c>
      <c r="C32" s="802">
        <v>0</v>
      </c>
      <c r="D32" s="667">
        <v>0</v>
      </c>
      <c r="E32" s="667">
        <v>-7.2111100739383649E-17</v>
      </c>
      <c r="F32" s="802">
        <v>3.9729655649472811E-2</v>
      </c>
      <c r="G32" s="801">
        <v>0.39328304624274635</v>
      </c>
      <c r="H32" s="92">
        <v>0</v>
      </c>
      <c r="I32" s="76">
        <v>0</v>
      </c>
      <c r="J32" s="76">
        <v>0</v>
      </c>
      <c r="K32" s="92">
        <v>0</v>
      </c>
      <c r="L32" s="92">
        <v>0</v>
      </c>
      <c r="M32" s="76">
        <f>F32</f>
        <v>3.9729655649472811E-2</v>
      </c>
      <c r="N32" s="77">
        <f>G32</f>
        <v>0.39328304624274635</v>
      </c>
      <c r="O32" s="667">
        <v>0</v>
      </c>
      <c r="P32" s="802">
        <v>0</v>
      </c>
      <c r="Q32" s="802">
        <v>0</v>
      </c>
      <c r="R32" s="667">
        <v>0</v>
      </c>
      <c r="S32" s="667">
        <v>0</v>
      </c>
      <c r="T32" s="802">
        <f>M32/$M$31</f>
        <v>0.10102051443364393</v>
      </c>
      <c r="U32" s="801">
        <f>N32/$M$31</f>
        <v>1</v>
      </c>
      <c r="V32" s="92">
        <v>0</v>
      </c>
      <c r="W32" s="76">
        <v>0</v>
      </c>
      <c r="X32" s="76">
        <v>0</v>
      </c>
      <c r="Y32" s="92">
        <v>0</v>
      </c>
      <c r="Z32" s="92">
        <v>0</v>
      </c>
      <c r="AA32" s="106">
        <f>M32/SQRT(SUMSQ($M$31:$M$32))</f>
        <v>0.1005089620052083</v>
      </c>
      <c r="AB32" s="77">
        <f>N32/SQRT(SUMSQ($M$31:$M$32))</f>
        <v>0.99493615300512406</v>
      </c>
      <c r="AD32"/>
      <c r="AE32"/>
      <c r="AF32"/>
      <c r="AG32"/>
    </row>
    <row r="33" spans="9:33">
      <c r="I33"/>
      <c r="J33"/>
      <c r="K33"/>
      <c r="L33"/>
      <c r="M33"/>
      <c r="N33"/>
      <c r="AD33"/>
      <c r="AE33"/>
      <c r="AF33"/>
      <c r="AG33"/>
    </row>
  </sheetData>
  <mergeCells count="14">
    <mergeCell ref="O24:U24"/>
    <mergeCell ref="O1:U1"/>
    <mergeCell ref="A1:G1"/>
    <mergeCell ref="A15:G15"/>
    <mergeCell ref="V1:AB1"/>
    <mergeCell ref="V15:AB15"/>
    <mergeCell ref="AC1:AI1"/>
    <mergeCell ref="AC15:AI15"/>
    <mergeCell ref="V24:AB24"/>
    <mergeCell ref="A24:G24"/>
    <mergeCell ref="H1:N1"/>
    <mergeCell ref="H15:N15"/>
    <mergeCell ref="H24:N24"/>
    <mergeCell ref="O15:U15"/>
  </mergeCells>
  <conditionalFormatting sqref="A17:G23">
    <cfRule type="cellIs" dxfId="23" priority="9" operator="between">
      <formula>-0.0001</formula>
      <formula>0.0001</formula>
    </cfRule>
  </conditionalFormatting>
  <conditionalFormatting sqref="A26:G32">
    <cfRule type="cellIs" dxfId="22" priority="3" operator="between">
      <formula>-0.0001</formula>
      <formula>0.0001</formula>
    </cfRule>
  </conditionalFormatting>
  <conditionalFormatting sqref="H17:N23">
    <cfRule type="cellIs" dxfId="21" priority="8" operator="between">
      <formula>-0.0001</formula>
      <formula>0.0001</formula>
    </cfRule>
  </conditionalFormatting>
  <conditionalFormatting sqref="H26:N32">
    <cfRule type="cellIs" dxfId="20" priority="7" operator="between">
      <formula>-0.0001</formula>
      <formula>0.0001</formula>
    </cfRule>
  </conditionalFormatting>
  <conditionalFormatting sqref="O17:U23">
    <cfRule type="cellIs" dxfId="19" priority="6" operator="between">
      <formula>-0.0001</formula>
      <formula>0.0001</formula>
    </cfRule>
  </conditionalFormatting>
  <conditionalFormatting sqref="O26:U32">
    <cfRule type="cellIs" dxfId="18" priority="2" operator="between">
      <formula>-0.0001</formula>
      <formula>0.0001</formula>
    </cfRule>
  </conditionalFormatting>
  <conditionalFormatting sqref="V17:AB23">
    <cfRule type="cellIs" dxfId="17" priority="1" operator="between">
      <formula>-0.0001</formula>
      <formula>0.0001</formula>
    </cfRule>
  </conditionalFormatting>
  <conditionalFormatting sqref="V26:AB32">
    <cfRule type="cellIs" dxfId="16" priority="4" operator="between">
      <formula>-0.0001</formula>
      <formula>0.0001</formula>
    </cfRule>
  </conditionalFormatting>
  <conditionalFormatting sqref="AC17:AI23">
    <cfRule type="cellIs" dxfId="15" priority="5" operator="between">
      <formula>-0.0001</formula>
      <formula>0.0001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8F7A-FBDD-4942-853A-73F32CA560AF}">
  <dimension ref="A1:T36"/>
  <sheetViews>
    <sheetView zoomScaleNormal="100" workbookViewId="0">
      <selection activeCell="W6" sqref="W6"/>
    </sheetView>
  </sheetViews>
  <sheetFormatPr defaultColWidth="6.875" defaultRowHeight="15.75"/>
  <cols>
    <col min="1" max="6" width="6.875" style="94" customWidth="1"/>
    <col min="7" max="7" width="6.875" style="1" customWidth="1"/>
    <col min="8" max="10" width="6.875" style="1"/>
    <col min="11" max="11" width="6.875" style="1" customWidth="1"/>
    <col min="12" max="14" width="6.875" style="1"/>
    <col min="15" max="15" width="3.875" style="1" customWidth="1"/>
    <col min="16" max="16" width="6.875" style="1" customWidth="1"/>
    <col min="17" max="18" width="7" style="1" bestFit="1" customWidth="1"/>
    <col min="19" max="20" width="6.875" style="1" customWidth="1"/>
    <col min="21" max="16384" width="6.875" style="1"/>
  </cols>
  <sheetData>
    <row r="1" spans="1:20">
      <c r="A1" s="567" t="s">
        <v>14</v>
      </c>
      <c r="B1" s="568"/>
      <c r="C1" s="568"/>
      <c r="D1" s="568"/>
      <c r="E1" s="568"/>
      <c r="F1" s="568"/>
      <c r="G1" s="571" t="s">
        <v>219</v>
      </c>
      <c r="H1" s="800" t="s">
        <v>48</v>
      </c>
      <c r="I1" s="793" t="s">
        <v>276</v>
      </c>
      <c r="J1" s="665"/>
      <c r="K1" s="665"/>
      <c r="L1" s="665"/>
      <c r="M1" s="665"/>
      <c r="N1" s="666"/>
      <c r="P1" s="567" t="s">
        <v>275</v>
      </c>
      <c r="Q1" s="568"/>
      <c r="R1" s="568"/>
      <c r="S1" s="570"/>
      <c r="T1" s="800" t="s">
        <v>48</v>
      </c>
    </row>
    <row r="2" spans="1:20" ht="19.5">
      <c r="A2" s="524">
        <v>0</v>
      </c>
      <c r="B2" s="464" t="s">
        <v>267</v>
      </c>
      <c r="C2" s="464" t="s">
        <v>266</v>
      </c>
      <c r="D2" s="464" t="s">
        <v>274</v>
      </c>
      <c r="E2" s="799" t="s">
        <v>272</v>
      </c>
      <c r="F2" s="799" t="s">
        <v>273</v>
      </c>
      <c r="G2" s="583"/>
      <c r="H2" s="797"/>
      <c r="I2" s="454" t="s">
        <v>259</v>
      </c>
      <c r="J2" s="7" t="s">
        <v>30</v>
      </c>
      <c r="K2" s="454" t="s">
        <v>31</v>
      </c>
      <c r="L2" s="464" t="s">
        <v>32</v>
      </c>
      <c r="M2" s="122" t="s">
        <v>3</v>
      </c>
      <c r="N2" s="121" t="s">
        <v>33</v>
      </c>
      <c r="P2" s="524">
        <v>0</v>
      </c>
      <c r="Q2" s="464" t="s">
        <v>267</v>
      </c>
      <c r="R2" s="464" t="s">
        <v>266</v>
      </c>
      <c r="S2" s="798" t="s">
        <v>272</v>
      </c>
      <c r="T2" s="797"/>
    </row>
    <row r="3" spans="1:20">
      <c r="A3" s="39">
        <v>1</v>
      </c>
      <c r="B3" s="40">
        <v>-1</v>
      </c>
      <c r="C3" s="40">
        <v>-1</v>
      </c>
      <c r="D3" s="40">
        <f>B3*C3</f>
        <v>1</v>
      </c>
      <c r="E3" s="500">
        <f>B3^2-2/3</f>
        <v>0.33333333333333337</v>
      </c>
      <c r="F3" s="500">
        <f>C3^2-2/3</f>
        <v>0.33333333333333337</v>
      </c>
      <c r="G3" s="523">
        <v>1.1180000000000001</v>
      </c>
      <c r="H3" s="124">
        <f t="array" ref="H3:H14">MMULT(X,J12:J17)</f>
        <v>1.2678738456605017</v>
      </c>
      <c r="I3" s="519">
        <v>1</v>
      </c>
      <c r="J3" s="778">
        <f>G17*J13</f>
        <v>0.64121737415539304</v>
      </c>
      <c r="K3" s="475">
        <v>1</v>
      </c>
      <c r="L3" s="777">
        <f>J3/K3</f>
        <v>0.64121737415539304</v>
      </c>
      <c r="M3" s="514">
        <f>L3/L$8</f>
        <v>8.5778594229665792</v>
      </c>
      <c r="N3" s="776">
        <f>FDIST(M3,K3,K$8)</f>
        <v>2.6328185765273838E-2</v>
      </c>
      <c r="O3" s="1" t="str">
        <f>IF(N3&lt;=0.05,"*","")</f>
        <v>*</v>
      </c>
      <c r="P3" s="39">
        <v>1</v>
      </c>
      <c r="Q3" s="40">
        <f>B3</f>
        <v>-1</v>
      </c>
      <c r="R3" s="40">
        <f>C3</f>
        <v>-1</v>
      </c>
      <c r="S3" s="467">
        <f>E3</f>
        <v>0.33333333333333337</v>
      </c>
      <c r="T3" s="124">
        <f t="array" ref="T3:T14">MMULT(X_sig,J28:J31)</f>
        <v>1.2204738456605015</v>
      </c>
    </row>
    <row r="4" spans="1:20">
      <c r="A4" s="448">
        <v>1</v>
      </c>
      <c r="B4" s="94">
        <v>-1</v>
      </c>
      <c r="C4" s="94">
        <v>1</v>
      </c>
      <c r="D4" s="94">
        <f>B4*C4</f>
        <v>-1</v>
      </c>
      <c r="E4" s="499">
        <f>B4^2-2/3</f>
        <v>0.33333333333333337</v>
      </c>
      <c r="F4" s="499">
        <f>C4^2-2/3</f>
        <v>0.33333333333333337</v>
      </c>
      <c r="G4" s="514">
        <v>1.8029999999999999</v>
      </c>
      <c r="H4" s="37">
        <v>1.9933493321392921</v>
      </c>
      <c r="I4" s="519">
        <v>2</v>
      </c>
      <c r="J4" s="778">
        <f>G18*J14</f>
        <v>1.2182839699886103</v>
      </c>
      <c r="K4" s="475">
        <v>1</v>
      </c>
      <c r="L4" s="777">
        <f>J4/K4</f>
        <v>1.2182839699886103</v>
      </c>
      <c r="M4" s="514">
        <f>L4/L$8</f>
        <v>16.297544410085511</v>
      </c>
      <c r="N4" s="776">
        <f>FDIST(M4,K4,K$8)</f>
        <v>6.825716504144686E-3</v>
      </c>
      <c r="O4" s="1" t="str">
        <f>IF(N4&lt;=0.05,"*","")</f>
        <v>*</v>
      </c>
      <c r="P4" s="448">
        <v>1</v>
      </c>
      <c r="Q4" s="94">
        <f>B4</f>
        <v>-1</v>
      </c>
      <c r="R4" s="94">
        <f>C4</f>
        <v>1</v>
      </c>
      <c r="S4" s="468">
        <f>E4</f>
        <v>0.33333333333333337</v>
      </c>
      <c r="T4" s="37">
        <v>2.0009493321392924</v>
      </c>
    </row>
    <row r="5" spans="1:20">
      <c r="A5" s="448">
        <v>1</v>
      </c>
      <c r="B5" s="94">
        <v>1</v>
      </c>
      <c r="C5" s="94">
        <v>-1</v>
      </c>
      <c r="D5" s="94">
        <f>B5*C5</f>
        <v>-1</v>
      </c>
      <c r="E5" s="499">
        <f>B5^2-2/3</f>
        <v>0.33333333333333337</v>
      </c>
      <c r="F5" s="499">
        <f>C5^2-2/3</f>
        <v>0.33333333333333337</v>
      </c>
      <c r="G5" s="514">
        <v>0.56200000000000006</v>
      </c>
      <c r="H5" s="37">
        <v>0.64665066786070813</v>
      </c>
      <c r="I5" s="519">
        <v>12</v>
      </c>
      <c r="J5" s="778">
        <f>G19*J15</f>
        <v>3.0250000000000055E-3</v>
      </c>
      <c r="K5" s="475">
        <v>1</v>
      </c>
      <c r="L5" s="777">
        <f>J5/K5</f>
        <v>3.0250000000000055E-3</v>
      </c>
      <c r="M5" s="514">
        <f>L5/L$8</f>
        <v>4.0466814843644103E-2</v>
      </c>
      <c r="N5" s="776">
        <f>FDIST(M5,K5,K$8)</f>
        <v>0.84721684949886433</v>
      </c>
      <c r="O5" s="1" t="str">
        <f>IF(N5&lt;=0.05,"*","")</f>
        <v/>
      </c>
      <c r="P5" s="448">
        <v>1</v>
      </c>
      <c r="Q5" s="94">
        <f>B5</f>
        <v>1</v>
      </c>
      <c r="R5" s="94">
        <f>C5</f>
        <v>-1</v>
      </c>
      <c r="S5" s="468">
        <f>E5</f>
        <v>0.33333333333333337</v>
      </c>
      <c r="T5" s="37">
        <v>0.65425066786070807</v>
      </c>
    </row>
    <row r="6" spans="1:20">
      <c r="A6" s="95">
        <v>1</v>
      </c>
      <c r="B6" s="96">
        <v>1</v>
      </c>
      <c r="C6" s="96">
        <v>1</v>
      </c>
      <c r="D6" s="96">
        <f>B6*C6</f>
        <v>1</v>
      </c>
      <c r="E6" s="498">
        <f>B6^2-2/3</f>
        <v>0.33333333333333337</v>
      </c>
      <c r="F6" s="498">
        <f>C6^2-2/3</f>
        <v>0.33333333333333337</v>
      </c>
      <c r="G6" s="514">
        <v>1.357</v>
      </c>
      <c r="H6" s="37">
        <v>1.4821261543394988</v>
      </c>
      <c r="I6" s="796" t="s">
        <v>271</v>
      </c>
      <c r="J6" s="775">
        <f>J7-SUM(J3:J5)</f>
        <v>0.96487566666666558</v>
      </c>
      <c r="K6" s="474">
        <v>2</v>
      </c>
      <c r="L6" s="774">
        <f>J6/K6</f>
        <v>0.48243783333333279</v>
      </c>
      <c r="M6" s="773">
        <f>L6/L$8</f>
        <v>6.4537925537417431</v>
      </c>
      <c r="N6" s="772">
        <f>FDIST(M6,K6,K$8)</f>
        <v>3.1955495740440612E-2</v>
      </c>
      <c r="O6" s="1" t="str">
        <f>IF(N6&lt;=0.05,"*","")</f>
        <v>*</v>
      </c>
      <c r="P6" s="95">
        <v>1</v>
      </c>
      <c r="Q6" s="96">
        <f>B6</f>
        <v>1</v>
      </c>
      <c r="R6" s="96">
        <f>C6</f>
        <v>1</v>
      </c>
      <c r="S6" s="466">
        <f>E6</f>
        <v>0.33333333333333337</v>
      </c>
      <c r="T6" s="37">
        <v>1.4347261543394987</v>
      </c>
    </row>
    <row r="7" spans="1:20">
      <c r="A7" s="39">
        <v>1</v>
      </c>
      <c r="B7" s="40">
        <v>0</v>
      </c>
      <c r="C7" s="40">
        <v>0</v>
      </c>
      <c r="D7" s="40">
        <f>B7*C7</f>
        <v>0</v>
      </c>
      <c r="E7" s="500">
        <f>B7^2-2/3</f>
        <v>-0.66666666666666663</v>
      </c>
      <c r="F7" s="500">
        <f>C7^2-2/3</f>
        <v>-0.66666666666666663</v>
      </c>
      <c r="G7" s="523">
        <v>1.075</v>
      </c>
      <c r="H7" s="124">
        <v>0.91050000000000009</v>
      </c>
      <c r="I7" s="795" t="s">
        <v>5</v>
      </c>
      <c r="J7" s="770">
        <f>SUMSQ(y_hat)-COUNT(y)*AVERAGE(y)^2</f>
        <v>2.827402010810669</v>
      </c>
      <c r="K7" s="41">
        <f>COLUMNS(X)-1</f>
        <v>5</v>
      </c>
      <c r="L7" s="769">
        <f>J7/K7</f>
        <v>0.5654804021621338</v>
      </c>
      <c r="M7" s="523">
        <f>L7/L$8</f>
        <v>7.5646911510758441</v>
      </c>
      <c r="N7" s="767">
        <f>FDIST(M7,K7,K$8)</f>
        <v>1.4320637988572169E-2</v>
      </c>
      <c r="O7" s="1" t="str">
        <f>IF(N7&lt;=0.05,"*","")</f>
        <v>*</v>
      </c>
      <c r="P7" s="39">
        <v>1</v>
      </c>
      <c r="Q7" s="40">
        <f>B7</f>
        <v>0</v>
      </c>
      <c r="R7" s="40">
        <f>C7</f>
        <v>0</v>
      </c>
      <c r="S7" s="467">
        <f>E7</f>
        <v>-0.66666666666666663</v>
      </c>
      <c r="T7" s="124">
        <v>0.95030000000000026</v>
      </c>
    </row>
    <row r="8" spans="1:20">
      <c r="A8" s="95">
        <v>1</v>
      </c>
      <c r="B8" s="96">
        <v>0</v>
      </c>
      <c r="C8" s="96">
        <v>0</v>
      </c>
      <c r="D8" s="96">
        <f>B8*C8</f>
        <v>0</v>
      </c>
      <c r="E8" s="498">
        <f>B8^2-2/3</f>
        <v>-0.66666666666666663</v>
      </c>
      <c r="F8" s="498">
        <f>C8^2-2/3</f>
        <v>-0.66666666666666663</v>
      </c>
      <c r="G8" s="512">
        <v>0.53</v>
      </c>
      <c r="H8" s="66">
        <v>0.91050000000000009</v>
      </c>
      <c r="I8" s="794" t="s">
        <v>6</v>
      </c>
      <c r="J8" s="764">
        <f>SUMSQ(y)-SUMSQ(y_hat)</f>
        <v>0.44851565585599218</v>
      </c>
      <c r="K8" s="97">
        <f>COUNT(y)-COLUMNS(X)</f>
        <v>6</v>
      </c>
      <c r="L8" s="768">
        <f>J8/K8</f>
        <v>7.475260930933203E-2</v>
      </c>
      <c r="M8" s="129" t="s">
        <v>262</v>
      </c>
      <c r="N8" s="767">
        <f>SQRT(L8)</f>
        <v>0.27340923413325313</v>
      </c>
      <c r="O8" s="1" t="str">
        <f>IF(N8&lt;=0.05,"*","")</f>
        <v/>
      </c>
      <c r="P8" s="95">
        <v>1</v>
      </c>
      <c r="Q8" s="96">
        <f>B8</f>
        <v>0</v>
      </c>
      <c r="R8" s="96">
        <f>C8</f>
        <v>0</v>
      </c>
      <c r="S8" s="466">
        <f>E8</f>
        <v>-0.66666666666666663</v>
      </c>
      <c r="T8" s="66">
        <v>0.95030000000000026</v>
      </c>
    </row>
    <row r="9" spans="1:20" ht="18.75">
      <c r="A9" s="39">
        <v>1</v>
      </c>
      <c r="B9" s="765">
        <f>-SQRT(2)</f>
        <v>-1.4142135623730951</v>
      </c>
      <c r="C9" s="40">
        <v>0</v>
      </c>
      <c r="D9" s="40">
        <v>0</v>
      </c>
      <c r="E9" s="500">
        <f>B9^2-2/3</f>
        <v>1.3333333333333339</v>
      </c>
      <c r="F9" s="500">
        <f>C9^2-2/3</f>
        <v>-0.66666666666666663</v>
      </c>
      <c r="G9" s="514">
        <v>2.2690000000000001</v>
      </c>
      <c r="H9" s="37">
        <v>2.0853802486872302</v>
      </c>
      <c r="I9" s="794" t="s">
        <v>7</v>
      </c>
      <c r="J9" s="764">
        <f>SUMSQ(y)-COUNT(y)*AVERAGE(y)^2</f>
        <v>3.2759176666666612</v>
      </c>
      <c r="K9" s="97">
        <f>COUNT(y)-1</f>
        <v>11</v>
      </c>
      <c r="L9" s="96"/>
      <c r="M9" s="127" t="s">
        <v>261</v>
      </c>
      <c r="N9" s="763">
        <f>J7/J9</f>
        <v>0.86308701820568967</v>
      </c>
      <c r="O9" s="1" t="str">
        <f>IF(N9&lt;=0.05,"*","")</f>
        <v/>
      </c>
      <c r="P9" s="39">
        <v>1</v>
      </c>
      <c r="Q9" s="765">
        <f>B9</f>
        <v>-1.4142135623730951</v>
      </c>
      <c r="R9" s="40">
        <f>C9</f>
        <v>0</v>
      </c>
      <c r="S9" s="467">
        <f>E9</f>
        <v>1.3333333333333339</v>
      </c>
      <c r="T9" s="37">
        <v>2.1052802486872304</v>
      </c>
    </row>
    <row r="10" spans="1:20">
      <c r="A10" s="448">
        <v>1</v>
      </c>
      <c r="B10" s="762">
        <v>0</v>
      </c>
      <c r="C10" s="761">
        <f>-SQRT(2)</f>
        <v>-1.4142135623730951</v>
      </c>
      <c r="D10" s="94">
        <v>0</v>
      </c>
      <c r="E10" s="499">
        <f>B10^2-2/3</f>
        <v>-0.66666666666666663</v>
      </c>
      <c r="F10" s="499">
        <f>C10^2-2/3</f>
        <v>1.3333333333333339</v>
      </c>
      <c r="G10" s="514">
        <v>0.56699999999999995</v>
      </c>
      <c r="H10" s="37">
        <v>0.45812049096097784</v>
      </c>
      <c r="I10" s="793" t="s">
        <v>270</v>
      </c>
      <c r="J10" s="665"/>
      <c r="K10" s="665"/>
      <c r="L10" s="665"/>
      <c r="M10" s="665"/>
      <c r="N10" s="666"/>
      <c r="P10" s="448">
        <v>1</v>
      </c>
      <c r="Q10" s="762">
        <f>B10</f>
        <v>0</v>
      </c>
      <c r="R10" s="761">
        <f>C10</f>
        <v>-1.4142135623730951</v>
      </c>
      <c r="S10" s="468">
        <f>E10</f>
        <v>-0.66666666666666663</v>
      </c>
      <c r="T10" s="37">
        <v>0.39842049096097765</v>
      </c>
    </row>
    <row r="11" spans="1:20">
      <c r="A11" s="448">
        <v>1</v>
      </c>
      <c r="B11" s="94">
        <v>0</v>
      </c>
      <c r="C11" s="760">
        <f>SQRT(2)</f>
        <v>1.4142135623730951</v>
      </c>
      <c r="D11" s="94">
        <v>0</v>
      </c>
      <c r="E11" s="499">
        <f>B11^2-2/3</f>
        <v>-0.66666666666666663</v>
      </c>
      <c r="F11" s="499">
        <f>C11^2-2/3</f>
        <v>1.3333333333333339</v>
      </c>
      <c r="G11" s="514">
        <v>1.728</v>
      </c>
      <c r="H11" s="37">
        <v>1.561879509039023</v>
      </c>
      <c r="I11" s="130" t="s">
        <v>259</v>
      </c>
      <c r="J11" s="759" t="s">
        <v>39</v>
      </c>
      <c r="K11" s="758" t="s">
        <v>183</v>
      </c>
      <c r="M11" s="72" t="s">
        <v>43</v>
      </c>
      <c r="N11" s="73" t="s">
        <v>33</v>
      </c>
      <c r="O11"/>
      <c r="P11" s="448">
        <v>1</v>
      </c>
      <c r="Q11" s="94">
        <f>B11</f>
        <v>0</v>
      </c>
      <c r="R11" s="760">
        <f>C11</f>
        <v>1.4142135623730951</v>
      </c>
      <c r="S11" s="468">
        <f>E11</f>
        <v>-0.66666666666666663</v>
      </c>
      <c r="T11" s="37">
        <v>1.5021795090390229</v>
      </c>
    </row>
    <row r="12" spans="1:20">
      <c r="A12" s="95">
        <v>1</v>
      </c>
      <c r="B12" s="757">
        <f>SQRT(2)</f>
        <v>1.4142135623730951</v>
      </c>
      <c r="C12" s="96">
        <v>0</v>
      </c>
      <c r="D12" s="96">
        <v>0</v>
      </c>
      <c r="E12" s="498">
        <f>B12^2-2/3</f>
        <v>1.3333333333333339</v>
      </c>
      <c r="F12" s="498">
        <f>C12^2-2/3</f>
        <v>-0.66666666666666663</v>
      </c>
      <c r="G12" s="514">
        <v>1.3759999999999999</v>
      </c>
      <c r="H12" s="37">
        <v>1.28461975131277</v>
      </c>
      <c r="I12" s="756">
        <v>0</v>
      </c>
      <c r="J12" s="755">
        <f t="array" ref="J12:J17">MMULT(A23:F28,G16:G21)</f>
        <v>1.2018333333333335</v>
      </c>
      <c r="K12" s="754">
        <f t="array" ref="K12:K17">SQRT([1]!DIAG(A23:F28)*L8)</f>
        <v>7.8926447462881563E-2</v>
      </c>
      <c r="M12" s="755">
        <f>J12/K12</f>
        <v>15.227257427221028</v>
      </c>
      <c r="N12" s="754">
        <f>TDIST(ABS(M12),K$8,2)</f>
        <v>5.0633688996899579E-6</v>
      </c>
      <c r="O12" s="1" t="str">
        <f>IF(N12&lt;=0.05,"*","")</f>
        <v>*</v>
      </c>
      <c r="P12" s="95">
        <v>1</v>
      </c>
      <c r="Q12" s="757">
        <f>B12</f>
        <v>1.4142135623730951</v>
      </c>
      <c r="R12" s="96">
        <f>C12</f>
        <v>0</v>
      </c>
      <c r="S12" s="466">
        <f>E12</f>
        <v>1.3333333333333339</v>
      </c>
      <c r="T12" s="37">
        <v>1.3045197513127702</v>
      </c>
    </row>
    <row r="13" spans="1:20">
      <c r="A13" s="39">
        <v>1</v>
      </c>
      <c r="B13" s="40">
        <v>0</v>
      </c>
      <c r="C13" s="40">
        <v>0</v>
      </c>
      <c r="D13" s="40">
        <f>B13*C13</f>
        <v>0</v>
      </c>
      <c r="E13" s="500">
        <f>B13^2-2/3</f>
        <v>-0.66666666666666663</v>
      </c>
      <c r="F13" s="500">
        <f>C13^2-2/3</f>
        <v>-0.66666666666666663</v>
      </c>
      <c r="G13" s="523">
        <v>0.80600000000000005</v>
      </c>
      <c r="H13" s="124">
        <v>0.91050000000000009</v>
      </c>
      <c r="I13" s="515">
        <v>1</v>
      </c>
      <c r="J13" s="507">
        <v>-0.28311158889989674</v>
      </c>
      <c r="K13" s="753">
        <v>9.6664761747321887E-2</v>
      </c>
      <c r="M13" s="507">
        <f>J13/K13</f>
        <v>-2.9287982899077534</v>
      </c>
      <c r="N13" s="753">
        <f>TDIST(ABS(M13),K$8,2)</f>
        <v>2.6328185765273817E-2</v>
      </c>
      <c r="O13" s="1" t="str">
        <f>IF(N13&lt;=0.05,"*","")</f>
        <v>*</v>
      </c>
      <c r="P13" s="39">
        <v>1</v>
      </c>
      <c r="Q13" s="40">
        <f>B13</f>
        <v>0</v>
      </c>
      <c r="R13" s="40">
        <f>C13</f>
        <v>0</v>
      </c>
      <c r="S13" s="467">
        <f>E13</f>
        <v>-0.66666666666666663</v>
      </c>
      <c r="T13" s="124">
        <v>0.95030000000000026</v>
      </c>
    </row>
    <row r="14" spans="1:20">
      <c r="A14" s="95">
        <v>1</v>
      </c>
      <c r="B14" s="96">
        <v>0</v>
      </c>
      <c r="C14" s="96">
        <v>0</v>
      </c>
      <c r="D14" s="96">
        <f>B14*C14</f>
        <v>0</v>
      </c>
      <c r="E14" s="498">
        <f>B14^2-2/3</f>
        <v>-0.66666666666666663</v>
      </c>
      <c r="F14" s="498">
        <f>C14^2-2/3</f>
        <v>-0.66666666666666663</v>
      </c>
      <c r="G14" s="512">
        <v>1.2310000000000001</v>
      </c>
      <c r="H14" s="66">
        <v>0.91050000000000009</v>
      </c>
      <c r="I14" s="515">
        <v>2</v>
      </c>
      <c r="J14" s="507">
        <v>0.39023774323939542</v>
      </c>
      <c r="K14" s="753">
        <v>9.6664761747321887E-2</v>
      </c>
      <c r="M14" s="507">
        <f>J14/K14</f>
        <v>4.037021725243191</v>
      </c>
      <c r="N14" s="753">
        <f>TDIST(ABS(M14),K$8,2)</f>
        <v>6.825716504144686E-3</v>
      </c>
      <c r="O14" s="1" t="str">
        <f>IF(N14&lt;=0.05,"*","")</f>
        <v>*</v>
      </c>
      <c r="P14" s="95">
        <v>1</v>
      </c>
      <c r="Q14" s="96">
        <f>B14</f>
        <v>0</v>
      </c>
      <c r="R14" s="96">
        <f>C14</f>
        <v>0</v>
      </c>
      <c r="S14" s="466">
        <f>E14</f>
        <v>-0.66666666666666663</v>
      </c>
      <c r="T14" s="66">
        <v>0.95030000000000026</v>
      </c>
    </row>
    <row r="15" spans="1:20" ht="18.75">
      <c r="A15" s="782" t="s">
        <v>269</v>
      </c>
      <c r="B15" s="722"/>
      <c r="C15" s="722"/>
      <c r="D15" s="722"/>
      <c r="E15" s="722"/>
      <c r="F15" s="722"/>
      <c r="G15" s="792" t="s">
        <v>34</v>
      </c>
      <c r="H15" s="791"/>
      <c r="I15" s="756">
        <v>12</v>
      </c>
      <c r="J15" s="755">
        <v>2.7500000000000024E-2</v>
      </c>
      <c r="K15" s="754">
        <v>0.13670461706662657</v>
      </c>
      <c r="M15" s="755">
        <f>J15/K15</f>
        <v>0.20116365189477969</v>
      </c>
      <c r="N15" s="754">
        <f>TDIST(ABS(M15),K$8,2)</f>
        <v>0.84721684949886433</v>
      </c>
      <c r="O15" s="1" t="str">
        <f>IF(N15&lt;=0.05,"*","")</f>
        <v/>
      </c>
      <c r="P15" s="567" t="s">
        <v>268</v>
      </c>
      <c r="Q15" s="568"/>
      <c r="R15" s="568"/>
      <c r="S15" s="570"/>
      <c r="T15" s="790" t="s">
        <v>34</v>
      </c>
    </row>
    <row r="16" spans="1:20">
      <c r="A16" s="452">
        <f t="array" ref="A16:F21">MMULT(TRANSPOSE(X),X)</f>
        <v>12</v>
      </c>
      <c r="B16" s="473">
        <v>0</v>
      </c>
      <c r="C16" s="473">
        <v>0</v>
      </c>
      <c r="D16" s="452">
        <v>0</v>
      </c>
      <c r="E16" s="473">
        <v>1.5543122344752192E-15</v>
      </c>
      <c r="F16" s="474">
        <v>1.5543122344752192E-15</v>
      </c>
      <c r="G16" s="785">
        <f t="array" ref="G16:G21">MMULT(TRANSPOSE(X),y)</f>
        <v>14.422000000000002</v>
      </c>
      <c r="H16" s="789"/>
      <c r="I16" s="515">
        <v>11</v>
      </c>
      <c r="J16" s="507">
        <v>0.38724999999999993</v>
      </c>
      <c r="K16" s="788">
        <v>0.10807448914791651</v>
      </c>
      <c r="M16" s="507">
        <f>J16/K16</f>
        <v>3.5831767797670451</v>
      </c>
      <c r="N16" s="753">
        <f>TDIST(ABS(M16),K$8,2)</f>
        <v>1.1598672980550378E-2</v>
      </c>
      <c r="O16" s="1" t="str">
        <f>IF(N16&lt;=0.05,"*","")</f>
        <v>*</v>
      </c>
      <c r="P16" s="451">
        <f t="array" ref="P16:S19">MMULT(TRANSPOSE(X_sig),X_sig)</f>
        <v>12</v>
      </c>
      <c r="Q16" s="766">
        <v>0</v>
      </c>
      <c r="R16" s="766">
        <v>0</v>
      </c>
      <c r="S16" s="451">
        <v>1.5543122344752192E-15</v>
      </c>
      <c r="T16" s="784">
        <f t="array" ref="T16:T19">MMULT(TRANSPOSE(X_sig),y)</f>
        <v>14.422000000000002</v>
      </c>
    </row>
    <row r="17" spans="1:20">
      <c r="A17" s="448">
        <v>0</v>
      </c>
      <c r="B17" s="94">
        <v>8</v>
      </c>
      <c r="C17" s="94">
        <v>0</v>
      </c>
      <c r="D17" s="448">
        <v>0</v>
      </c>
      <c r="E17" s="94">
        <v>0</v>
      </c>
      <c r="F17" s="475">
        <v>0</v>
      </c>
      <c r="G17" s="783">
        <v>-2.2648927111991739</v>
      </c>
      <c r="I17" s="513">
        <v>22</v>
      </c>
      <c r="J17" s="509">
        <v>4.97500000000001E-2</v>
      </c>
      <c r="K17" s="752">
        <v>0.10807448914791651</v>
      </c>
      <c r="M17" s="509">
        <f>J17/K17</f>
        <v>0.46033065150009267</v>
      </c>
      <c r="N17" s="752">
        <f>TDIST(ABS(M17),K$8,2)</f>
        <v>0.66148996305736896</v>
      </c>
      <c r="O17" s="1" t="str">
        <f>IF(N17&lt;=0.05,"*","")</f>
        <v/>
      </c>
      <c r="P17" s="447">
        <v>0</v>
      </c>
      <c r="Q17" s="476">
        <v>8</v>
      </c>
      <c r="R17" s="476">
        <v>0</v>
      </c>
      <c r="S17" s="447">
        <v>0</v>
      </c>
      <c r="T17" s="786">
        <v>-2.2648927111991739</v>
      </c>
    </row>
    <row r="18" spans="1:20">
      <c r="A18" s="448">
        <v>0</v>
      </c>
      <c r="B18" s="94">
        <v>0</v>
      </c>
      <c r="C18" s="94">
        <v>8</v>
      </c>
      <c r="D18" s="448">
        <v>0</v>
      </c>
      <c r="E18" s="94">
        <v>0</v>
      </c>
      <c r="F18" s="475">
        <v>0</v>
      </c>
      <c r="G18" s="783">
        <v>3.1219019459151633</v>
      </c>
      <c r="I18" s="649" t="s">
        <v>265</v>
      </c>
      <c r="J18" s="665"/>
      <c r="K18" s="665"/>
      <c r="L18" s="665"/>
      <c r="M18" s="665"/>
      <c r="N18" s="666"/>
      <c r="P18" s="447">
        <v>0</v>
      </c>
      <c r="Q18" s="476">
        <v>0</v>
      </c>
      <c r="R18" s="476">
        <v>8</v>
      </c>
      <c r="S18" s="447">
        <v>0</v>
      </c>
      <c r="T18" s="786">
        <v>3.1219019459151633</v>
      </c>
    </row>
    <row r="19" spans="1:20">
      <c r="A19" s="452">
        <v>0</v>
      </c>
      <c r="B19" s="473">
        <v>0</v>
      </c>
      <c r="C19" s="473">
        <v>0</v>
      </c>
      <c r="D19" s="452">
        <v>4</v>
      </c>
      <c r="E19" s="473">
        <v>0</v>
      </c>
      <c r="F19" s="474">
        <v>0</v>
      </c>
      <c r="G19" s="785">
        <v>0.1100000000000001</v>
      </c>
      <c r="I19" s="524" t="s">
        <v>259</v>
      </c>
      <c r="J19" s="7" t="s">
        <v>30</v>
      </c>
      <c r="K19" s="454" t="s">
        <v>31</v>
      </c>
      <c r="L19" s="464" t="s">
        <v>32</v>
      </c>
      <c r="M19" s="122" t="s">
        <v>3</v>
      </c>
      <c r="N19" s="121" t="s">
        <v>33</v>
      </c>
      <c r="P19" s="451">
        <v>1.5543122344752192E-15</v>
      </c>
      <c r="Q19" s="766">
        <v>0</v>
      </c>
      <c r="R19" s="766">
        <v>0</v>
      </c>
      <c r="S19" s="451">
        <v>6.6666666666666705</v>
      </c>
      <c r="T19" s="784">
        <v>2.5153333333333361</v>
      </c>
    </row>
    <row r="20" spans="1:20" ht="18.75">
      <c r="A20" s="448">
        <v>1.5543122344752192E-15</v>
      </c>
      <c r="B20" s="94">
        <v>0</v>
      </c>
      <c r="C20" s="94">
        <v>0</v>
      </c>
      <c r="D20" s="448">
        <v>0</v>
      </c>
      <c r="E20" s="94">
        <v>6.6666666666666705</v>
      </c>
      <c r="F20" s="475">
        <v>-1.3333333333333348</v>
      </c>
      <c r="G20" s="783">
        <v>2.5153333333333361</v>
      </c>
      <c r="I20" s="515">
        <v>1</v>
      </c>
      <c r="J20" s="778">
        <f>T17*J29</f>
        <v>0.64121737415539304</v>
      </c>
      <c r="K20" s="475">
        <v>1</v>
      </c>
      <c r="L20" s="777">
        <f>J20/K20</f>
        <v>0.64121737415539304</v>
      </c>
      <c r="M20" s="514">
        <f>L20/L$24</f>
        <v>10.975496180195437</v>
      </c>
      <c r="N20" s="776">
        <f>FDIST(M20,K20,K$8)</f>
        <v>1.6145773109720808E-2</v>
      </c>
      <c r="O20" s="1" t="str">
        <f>IF(N20&lt;=0.05,"*","")</f>
        <v>*</v>
      </c>
      <c r="P20" s="782" t="s">
        <v>264</v>
      </c>
      <c r="Q20" s="781"/>
      <c r="R20" s="781"/>
      <c r="S20" s="780"/>
    </row>
    <row r="21" spans="1:20">
      <c r="A21" s="95">
        <v>1.5543122344752192E-15</v>
      </c>
      <c r="B21" s="96">
        <v>0</v>
      </c>
      <c r="C21" s="96">
        <v>0</v>
      </c>
      <c r="D21" s="95">
        <v>0</v>
      </c>
      <c r="E21" s="96">
        <v>-1.3333333333333348</v>
      </c>
      <c r="F21" s="97">
        <v>6.6666666666666705</v>
      </c>
      <c r="G21" s="779">
        <v>-0.18466666666666443</v>
      </c>
      <c r="I21" s="515">
        <v>2</v>
      </c>
      <c r="J21" s="778">
        <f>T18*J30</f>
        <v>1.2182839699886103</v>
      </c>
      <c r="K21" s="475">
        <v>1</v>
      </c>
      <c r="L21" s="777">
        <f>J21/K21</f>
        <v>1.2182839699886103</v>
      </c>
      <c r="M21" s="514">
        <f>L21/L$24</f>
        <v>20.852945659209357</v>
      </c>
      <c r="N21" s="776">
        <f>FDIST(M21,K21,K$8)</f>
        <v>3.8245684419122984E-3</v>
      </c>
      <c r="O21" s="1" t="str">
        <f>IF(N21&lt;=0.05,"*","")</f>
        <v>*</v>
      </c>
      <c r="P21" s="451">
        <f t="array" ref="P21:S24">MINVERSE(MMULT(TRANSPOSE(X_sig),X_sig))</f>
        <v>8.3333333333333329E-2</v>
      </c>
      <c r="Q21" s="766">
        <v>0</v>
      </c>
      <c r="R21" s="766">
        <v>0</v>
      </c>
      <c r="S21" s="451">
        <v>-1.9428902930940229E-17</v>
      </c>
    </row>
    <row r="22" spans="1:20" ht="18.75">
      <c r="A22" s="567" t="s">
        <v>263</v>
      </c>
      <c r="B22" s="568"/>
      <c r="C22" s="568"/>
      <c r="D22" s="568"/>
      <c r="E22" s="568"/>
      <c r="F22" s="570"/>
      <c r="I22" s="756">
        <v>11</v>
      </c>
      <c r="J22" s="775">
        <f>T19*J31</f>
        <v>0.94903526666666749</v>
      </c>
      <c r="K22" s="474">
        <v>1</v>
      </c>
      <c r="L22" s="774">
        <f>J22/K22</f>
        <v>0.94903526666666749</v>
      </c>
      <c r="M22" s="773">
        <f>L22/L$24</f>
        <v>16.244308660367825</v>
      </c>
      <c r="N22" s="772">
        <f>FDIST(M22,K22,K$8)</f>
        <v>6.8769838141400676E-3</v>
      </c>
      <c r="O22" s="1" t="str">
        <f>IF(N22&lt;=0.05,"*","")</f>
        <v>*</v>
      </c>
      <c r="P22" s="447">
        <v>0</v>
      </c>
      <c r="Q22" s="476">
        <v>0.125</v>
      </c>
      <c r="R22" s="476">
        <v>0</v>
      </c>
      <c r="S22" s="447">
        <v>0</v>
      </c>
    </row>
    <row r="23" spans="1:20">
      <c r="A23" s="452">
        <f t="array" ref="A23:F28">MINVERSE(MMULT(TRANSPOSE(X),X))</f>
        <v>8.3333333333333329E-2</v>
      </c>
      <c r="B23" s="473">
        <v>0</v>
      </c>
      <c r="C23" s="473">
        <v>0</v>
      </c>
      <c r="D23" s="452">
        <v>0</v>
      </c>
      <c r="E23" s="473">
        <v>-2.4286128663675287E-17</v>
      </c>
      <c r="F23" s="474">
        <v>-2.4286128663675287E-17</v>
      </c>
      <c r="H23" s="771"/>
      <c r="I23" s="518" t="s">
        <v>5</v>
      </c>
      <c r="J23" s="770">
        <f t="array" ref="J23">SUMSQ(T3:T14)-COUNT(y)*AVERAGE(y)^2</f>
        <v>2.8085366108106697</v>
      </c>
      <c r="K23" s="41">
        <v>3</v>
      </c>
      <c r="L23" s="769">
        <f>J23/K23</f>
        <v>0.93617887027022328</v>
      </c>
      <c r="M23" s="523">
        <f>L23/L$24</f>
        <v>16.024250166590868</v>
      </c>
      <c r="N23" s="767">
        <f>FDIST(M23,K23,K$8)</f>
        <v>2.8613380396927098E-3</v>
      </c>
      <c r="O23" s="1" t="str">
        <f>IF(N23&lt;=0.05,"*","")</f>
        <v>*</v>
      </c>
      <c r="P23" s="447">
        <v>0</v>
      </c>
      <c r="Q23" s="476">
        <v>0</v>
      </c>
      <c r="R23" s="476">
        <v>0.125</v>
      </c>
      <c r="S23" s="447">
        <v>0</v>
      </c>
    </row>
    <row r="24" spans="1:20">
      <c r="A24" s="448">
        <v>0</v>
      </c>
      <c r="B24" s="94">
        <v>0.125</v>
      </c>
      <c r="C24" s="94">
        <v>0</v>
      </c>
      <c r="D24" s="448">
        <v>0</v>
      </c>
      <c r="E24" s="94">
        <v>0</v>
      </c>
      <c r="F24" s="475">
        <v>0</v>
      </c>
      <c r="I24" s="513" t="s">
        <v>6</v>
      </c>
      <c r="J24" s="764">
        <f>SUMSQ(y)-SUMSQ(T3:T14)</f>
        <v>0.46738105585599143</v>
      </c>
      <c r="K24" s="97">
        <f>COUNT(y)-COLUMNS(X_sig)</f>
        <v>8</v>
      </c>
      <c r="L24" s="768">
        <f>J24/K24</f>
        <v>5.8422631981998929E-2</v>
      </c>
      <c r="M24" s="129" t="s">
        <v>262</v>
      </c>
      <c r="N24" s="767">
        <f>SQRT(L24)</f>
        <v>0.24170774084004618</v>
      </c>
      <c r="O24" s="1" t="str">
        <f>IF(N24&lt;=0.05,"*","")</f>
        <v/>
      </c>
      <c r="P24" s="451">
        <v>-1.9428902930940229E-17</v>
      </c>
      <c r="Q24" s="766">
        <v>0</v>
      </c>
      <c r="R24" s="766">
        <v>0</v>
      </c>
      <c r="S24" s="451">
        <v>0.14999999999999991</v>
      </c>
    </row>
    <row r="25" spans="1:20" ht="18.75">
      <c r="A25" s="448">
        <v>0</v>
      </c>
      <c r="B25" s="94">
        <v>0</v>
      </c>
      <c r="C25" s="94">
        <v>0.125</v>
      </c>
      <c r="D25" s="448">
        <v>0</v>
      </c>
      <c r="E25" s="94">
        <v>0</v>
      </c>
      <c r="F25" s="475">
        <v>0</v>
      </c>
      <c r="G25" s="36"/>
      <c r="H25" s="36"/>
      <c r="I25" s="513" t="s">
        <v>7</v>
      </c>
      <c r="J25" s="764">
        <f>SUMSQ(y)-COUNT(y)*AVERAGE(y)^2</f>
        <v>3.2759176666666612</v>
      </c>
      <c r="K25" s="97">
        <f>COUNT(y)-1</f>
        <v>11</v>
      </c>
      <c r="L25" s="96"/>
      <c r="M25" s="127" t="s">
        <v>261</v>
      </c>
      <c r="N25" s="763">
        <f>J23/J25</f>
        <v>0.85732820436492685</v>
      </c>
      <c r="O25" s="1" t="str">
        <f>IF(N25&lt;=0.05,"*","")</f>
        <v/>
      </c>
    </row>
    <row r="26" spans="1:20">
      <c r="A26" s="452">
        <v>0</v>
      </c>
      <c r="B26" s="473">
        <v>0</v>
      </c>
      <c r="C26" s="473">
        <v>0</v>
      </c>
      <c r="D26" s="452">
        <v>0.25</v>
      </c>
      <c r="E26" s="473">
        <v>0</v>
      </c>
      <c r="F26" s="474">
        <v>0</v>
      </c>
      <c r="G26" s="36"/>
      <c r="H26" s="36"/>
      <c r="I26" s="649" t="s">
        <v>260</v>
      </c>
      <c r="J26" s="665"/>
      <c r="K26" s="665"/>
      <c r="L26" s="665"/>
      <c r="M26" s="665"/>
      <c r="N26" s="666"/>
    </row>
    <row r="27" spans="1:20">
      <c r="A27" s="448">
        <v>-2.4286128663675287E-17</v>
      </c>
      <c r="B27" s="94">
        <v>0</v>
      </c>
      <c r="C27" s="94">
        <v>0</v>
      </c>
      <c r="D27" s="448">
        <v>0</v>
      </c>
      <c r="E27" s="94">
        <v>0.15624999999999992</v>
      </c>
      <c r="F27" s="475">
        <v>3.125E-2</v>
      </c>
      <c r="G27" s="36"/>
      <c r="H27" s="36"/>
      <c r="I27" s="130" t="s">
        <v>259</v>
      </c>
      <c r="J27" s="759" t="s">
        <v>39</v>
      </c>
      <c r="K27" s="758" t="s">
        <v>183</v>
      </c>
      <c r="M27" s="72" t="s">
        <v>43</v>
      </c>
      <c r="N27" s="73" t="s">
        <v>33</v>
      </c>
    </row>
    <row r="28" spans="1:20">
      <c r="A28" s="95">
        <v>-2.428612866367529E-17</v>
      </c>
      <c r="B28" s="96">
        <v>0</v>
      </c>
      <c r="C28" s="96">
        <v>0</v>
      </c>
      <c r="D28" s="95">
        <v>0</v>
      </c>
      <c r="E28" s="96">
        <v>3.125E-2</v>
      </c>
      <c r="F28" s="97">
        <v>0.15624999999999992</v>
      </c>
      <c r="G28" s="36"/>
      <c r="H28" s="36"/>
      <c r="I28" s="756">
        <v>0</v>
      </c>
      <c r="J28" s="755">
        <f t="array" ref="J28:J31">MMULT(P21:S24,T16:T19)</f>
        <v>1.2018333333333335</v>
      </c>
      <c r="K28" s="754">
        <f t="array" ref="K28:K31">SQRT([1]!DIAG(P21:S24)*L24)</f>
        <v>6.9775014619608486E-2</v>
      </c>
      <c r="M28" s="755">
        <f>J28/K28</f>
        <v>17.224408190888276</v>
      </c>
      <c r="N28" s="754">
        <f>TDIST(ABS(M28),K$24,2)</f>
        <v>1.3135720394316534E-7</v>
      </c>
      <c r="O28" s="1" t="str">
        <f>IF(N28&lt;=0.05,"*","")</f>
        <v>*</v>
      </c>
    </row>
    <row r="29" spans="1:20">
      <c r="G29" s="36"/>
      <c r="H29" s="36"/>
      <c r="I29" s="515">
        <v>1</v>
      </c>
      <c r="J29" s="507">
        <v>-0.28311158889989674</v>
      </c>
      <c r="K29" s="753">
        <v>8.545659130663863E-2</v>
      </c>
      <c r="M29" s="507">
        <f>J29/K29</f>
        <v>-3.3129286409754495</v>
      </c>
      <c r="N29" s="753">
        <f>TDIST(ABS(M29),K$24,2)</f>
        <v>1.0651641262115335E-2</v>
      </c>
      <c r="O29" s="1" t="str">
        <f>IF(N29&lt;=0.05,"*","")</f>
        <v>*</v>
      </c>
    </row>
    <row r="30" spans="1:20">
      <c r="G30" s="36"/>
      <c r="H30" s="36"/>
      <c r="I30" s="515">
        <v>2</v>
      </c>
      <c r="J30" s="507">
        <v>0.39023774323939542</v>
      </c>
      <c r="K30" s="753">
        <v>8.545659130663863E-2</v>
      </c>
      <c r="M30" s="507">
        <f>J30/K30</f>
        <v>4.5665025631449465</v>
      </c>
      <c r="N30" s="753">
        <f>TDIST(ABS(M30),K$24,2)</f>
        <v>1.8341854839365086E-3</v>
      </c>
      <c r="O30" s="1" t="str">
        <f>IF(N30&lt;=0.05,"*","")</f>
        <v>*</v>
      </c>
    </row>
    <row r="31" spans="1:20">
      <c r="I31" s="513">
        <v>11</v>
      </c>
      <c r="J31" s="509">
        <v>0.37729999999999991</v>
      </c>
      <c r="K31" s="752">
        <v>9.3613005492291693E-2</v>
      </c>
      <c r="M31" s="509">
        <f>J31/K31</f>
        <v>4.0304228885276805</v>
      </c>
      <c r="N31" s="752">
        <f>TDIST(ABS(M31),K$24,2)</f>
        <v>3.7858291981134958E-3</v>
      </c>
      <c r="O31" s="1" t="str">
        <f>IF(N31&lt;=0.05,"*","")</f>
        <v>*</v>
      </c>
    </row>
    <row r="32" spans="1:20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</sheetData>
  <mergeCells count="13">
    <mergeCell ref="P1:S1"/>
    <mergeCell ref="P15:S15"/>
    <mergeCell ref="P20:S20"/>
    <mergeCell ref="T1:T2"/>
    <mergeCell ref="H1:H2"/>
    <mergeCell ref="I1:N1"/>
    <mergeCell ref="I10:N10"/>
    <mergeCell ref="I26:N26"/>
    <mergeCell ref="I18:N18"/>
    <mergeCell ref="A22:F22"/>
    <mergeCell ref="G1:G2"/>
    <mergeCell ref="A1:F1"/>
    <mergeCell ref="A15:F15"/>
  </mergeCells>
  <conditionalFormatting sqref="A22:F28">
    <cfRule type="cellIs" dxfId="14" priority="2" operator="between">
      <formula>-0.0001</formula>
      <formula>0.0001</formula>
    </cfRule>
  </conditionalFormatting>
  <conditionalFormatting sqref="A16:G21 P21:S24 J28:K31">
    <cfRule type="cellIs" dxfId="13" priority="4" operator="between">
      <formula>-0.0001</formula>
      <formula>0.0001</formula>
    </cfRule>
  </conditionalFormatting>
  <conditionalFormatting sqref="J12:K17">
    <cfRule type="cellIs" dxfId="12" priority="3" operator="between">
      <formula>-0.0001</formula>
      <formula>0.0001</formula>
    </cfRule>
  </conditionalFormatting>
  <conditionalFormatting sqref="P16:T19">
    <cfRule type="cellIs" dxfId="11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FAC8-137C-4006-A5F1-812B86734560}">
  <dimension ref="A1:AC61"/>
  <sheetViews>
    <sheetView zoomScaleNormal="100" workbookViewId="0">
      <selection activeCell="A29" sqref="A29"/>
    </sheetView>
  </sheetViews>
  <sheetFormatPr defaultColWidth="5.875" defaultRowHeight="15.75"/>
  <cols>
    <col min="1" max="12" width="5.875" style="1"/>
    <col min="13" max="13" width="5.875" style="511"/>
    <col min="14" max="18" width="6.875" style="1" customWidth="1"/>
    <col min="23" max="26" width="5.875" style="1"/>
    <col min="27" max="27" width="6.875" style="1" customWidth="1"/>
    <col min="28" max="16384" width="5.875" style="1"/>
  </cols>
  <sheetData>
    <row r="1" spans="1:29">
      <c r="A1" s="567" t="s">
        <v>14</v>
      </c>
      <c r="B1" s="568"/>
      <c r="C1" s="568"/>
      <c r="D1" s="568"/>
      <c r="E1" s="568"/>
      <c r="F1" s="568"/>
      <c r="G1" s="568"/>
      <c r="H1" s="751"/>
      <c r="I1" s="751"/>
      <c r="J1" s="569"/>
      <c r="M1" s="649" t="s">
        <v>27</v>
      </c>
      <c r="N1" s="750"/>
      <c r="O1" s="750"/>
      <c r="P1" s="750"/>
      <c r="Q1" s="750"/>
      <c r="R1" s="749"/>
    </row>
    <row r="2" spans="1:29">
      <c r="A2" s="524">
        <v>0</v>
      </c>
      <c r="B2" s="464">
        <v>1</v>
      </c>
      <c r="C2" s="464">
        <v>2</v>
      </c>
      <c r="D2" s="454">
        <v>3</v>
      </c>
      <c r="E2" s="7">
        <v>12</v>
      </c>
      <c r="F2" s="464">
        <v>13</v>
      </c>
      <c r="G2" s="454">
        <v>23</v>
      </c>
      <c r="H2" s="7">
        <v>11</v>
      </c>
      <c r="I2" s="464">
        <v>22</v>
      </c>
      <c r="J2" s="454">
        <v>33</v>
      </c>
      <c r="K2" s="524" t="s">
        <v>219</v>
      </c>
      <c r="L2" s="748" t="s">
        <v>258</v>
      </c>
      <c r="M2" s="524" t="s">
        <v>47</v>
      </c>
      <c r="N2" s="71" t="s">
        <v>30</v>
      </c>
      <c r="O2" s="71" t="s">
        <v>31</v>
      </c>
      <c r="P2" s="70" t="s">
        <v>32</v>
      </c>
      <c r="Q2" s="69" t="s">
        <v>3</v>
      </c>
      <c r="R2" s="70" t="s">
        <v>253</v>
      </c>
      <c r="Y2"/>
      <c r="Z2"/>
      <c r="AA2"/>
      <c r="AB2"/>
      <c r="AC2"/>
    </row>
    <row r="3" spans="1:29">
      <c r="A3" s="39">
        <v>1</v>
      </c>
      <c r="B3" s="40">
        <v>1</v>
      </c>
      <c r="C3" s="40">
        <v>1</v>
      </c>
      <c r="D3" s="40">
        <v>1</v>
      </c>
      <c r="E3" s="87">
        <f>B3*C3</f>
        <v>1</v>
      </c>
      <c r="F3" s="40">
        <f>B3*D3</f>
        <v>1</v>
      </c>
      <c r="G3" s="41">
        <f>C3*D3</f>
        <v>1</v>
      </c>
      <c r="H3" s="40">
        <f>B3*B3-14/15</f>
        <v>6.6666666666666652E-2</v>
      </c>
      <c r="I3" s="40">
        <f>C3*C3-14/15</f>
        <v>6.6666666666666652E-2</v>
      </c>
      <c r="J3" s="41">
        <f>D3*D3-14/15</f>
        <v>6.6666666666666652E-2</v>
      </c>
      <c r="K3" s="120">
        <v>77.599999999999994</v>
      </c>
      <c r="L3" s="120">
        <f t="array" ref="L3:L17">MMULT(X,a)</f>
        <v>74.599999999999994</v>
      </c>
      <c r="M3" s="78" t="s">
        <v>5</v>
      </c>
      <c r="N3" s="81">
        <f>SUMSQ(y_hat)-COUNT(y)*AVERAGE(y)^2</f>
        <v>2583.3733333333294</v>
      </c>
      <c r="O3" s="88">
        <f>COLUMNS(X)-1</f>
        <v>9</v>
      </c>
      <c r="P3" s="80">
        <f>N3/O3</f>
        <v>287.04148148148101</v>
      </c>
      <c r="Q3" s="81">
        <f>P3/P4</f>
        <v>23.223420831833941</v>
      </c>
      <c r="R3" s="80">
        <f>FDIST(Q3,O3,O4)</f>
        <v>1.4652650261496184E-3</v>
      </c>
      <c r="Y3"/>
      <c r="Z3"/>
      <c r="AA3"/>
      <c r="AB3"/>
      <c r="AC3"/>
    </row>
    <row r="4" spans="1:29">
      <c r="A4" s="448">
        <v>1</v>
      </c>
      <c r="B4" s="94">
        <v>1</v>
      </c>
      <c r="C4" s="94">
        <v>1</v>
      </c>
      <c r="D4" s="94">
        <v>-1</v>
      </c>
      <c r="E4" s="89">
        <f>B4*C4</f>
        <v>1</v>
      </c>
      <c r="F4" s="94">
        <f>B4*D4</f>
        <v>-1</v>
      </c>
      <c r="G4" s="475">
        <f>C4*D4</f>
        <v>-1</v>
      </c>
      <c r="H4" s="94">
        <f>B4*B4-14/15</f>
        <v>6.6666666666666652E-2</v>
      </c>
      <c r="I4" s="94">
        <f>C4*C4-14/15</f>
        <v>6.6666666666666652E-2</v>
      </c>
      <c r="J4" s="475">
        <f>D4*D4-14/15</f>
        <v>6.6666666666666652E-2</v>
      </c>
      <c r="K4" s="744">
        <v>74.900000000000006</v>
      </c>
      <c r="L4" s="744">
        <v>76.828571428571422</v>
      </c>
      <c r="M4" s="78" t="s">
        <v>6</v>
      </c>
      <c r="N4" s="455">
        <f>SUMSQ(y)-SUMSQ(y_hat)</f>
        <v>61.80000000000291</v>
      </c>
      <c r="O4" s="1">
        <f>ROWS(X)-COLUMNS(X)</f>
        <v>5</v>
      </c>
      <c r="P4" s="90">
        <f>N4/O4</f>
        <v>12.360000000000582</v>
      </c>
      <c r="Q4" s="87" t="s">
        <v>191</v>
      </c>
      <c r="R4" s="80">
        <f>SQRT(P4)</f>
        <v>3.515679166249472</v>
      </c>
      <c r="Y4"/>
      <c r="Z4"/>
      <c r="AA4"/>
      <c r="AB4"/>
      <c r="AC4"/>
    </row>
    <row r="5" spans="1:29" ht="18.75">
      <c r="A5" s="448">
        <v>1</v>
      </c>
      <c r="B5" s="94">
        <v>1</v>
      </c>
      <c r="C5" s="94">
        <v>-1</v>
      </c>
      <c r="D5" s="94">
        <v>1</v>
      </c>
      <c r="E5" s="89">
        <f>B5*C5</f>
        <v>-1</v>
      </c>
      <c r="F5" s="94">
        <f>B5*D5</f>
        <v>1</v>
      </c>
      <c r="G5" s="475">
        <f>C5*D5</f>
        <v>-1</v>
      </c>
      <c r="H5" s="94">
        <f>B5*B5-14/15</f>
        <v>6.6666666666666652E-2</v>
      </c>
      <c r="I5" s="94">
        <f>C5*C5-14/15</f>
        <v>6.6666666666666652E-2</v>
      </c>
      <c r="J5" s="475">
        <f>D5*D5-14/15</f>
        <v>6.6666666666666652E-2</v>
      </c>
      <c r="K5" s="744">
        <v>51.5</v>
      </c>
      <c r="L5" s="744">
        <v>52.314285714285717</v>
      </c>
      <c r="M5" s="91" t="s">
        <v>7</v>
      </c>
      <c r="N5" s="106">
        <f>SUMSQ(y)-COUNT(y)*AVERAGE(y)^2</f>
        <v>2645.1733333333323</v>
      </c>
      <c r="O5" s="76">
        <f>COUNT(y)-1</f>
        <v>14</v>
      </c>
      <c r="P5" s="77"/>
      <c r="Q5" s="75" t="s">
        <v>257</v>
      </c>
      <c r="R5" s="77">
        <f>N3/N5</f>
        <v>0.97663669173538614</v>
      </c>
      <c r="Y5"/>
      <c r="Z5"/>
      <c r="AA5"/>
      <c r="AB5"/>
      <c r="AC5"/>
    </row>
    <row r="6" spans="1:29">
      <c r="A6" s="448">
        <v>1</v>
      </c>
      <c r="B6" s="94">
        <v>1</v>
      </c>
      <c r="C6" s="94">
        <v>-1</v>
      </c>
      <c r="D6" s="94">
        <v>-1</v>
      </c>
      <c r="E6" s="89">
        <f>B6*C6</f>
        <v>-1</v>
      </c>
      <c r="F6" s="94">
        <f>B6*D6</f>
        <v>-1</v>
      </c>
      <c r="G6" s="475">
        <f>C6*D6</f>
        <v>1</v>
      </c>
      <c r="H6" s="94">
        <f>B6*B6-14/15</f>
        <v>6.6666666666666652E-2</v>
      </c>
      <c r="I6" s="94">
        <f>C6*C6-14/15</f>
        <v>6.6666666666666652E-2</v>
      </c>
      <c r="J6" s="475">
        <f>D6*D6-14/15</f>
        <v>6.6666666666666652E-2</v>
      </c>
      <c r="K6" s="744">
        <v>53</v>
      </c>
      <c r="L6" s="744">
        <v>54.542857142857144</v>
      </c>
      <c r="Y6"/>
      <c r="Z6"/>
      <c r="AA6"/>
      <c r="AB6"/>
      <c r="AC6"/>
    </row>
    <row r="7" spans="1:29">
      <c r="A7" s="448">
        <v>1</v>
      </c>
      <c r="B7" s="94">
        <v>-1</v>
      </c>
      <c r="C7" s="94">
        <v>1</v>
      </c>
      <c r="D7" s="94">
        <v>1</v>
      </c>
      <c r="E7" s="89">
        <f>B7*C7</f>
        <v>-1</v>
      </c>
      <c r="F7" s="94">
        <f>B7*D7</f>
        <v>-1</v>
      </c>
      <c r="G7" s="475">
        <f>C7*D7</f>
        <v>1</v>
      </c>
      <c r="H7" s="94">
        <f>B7*B7-14/15</f>
        <v>6.6666666666666652E-2</v>
      </c>
      <c r="I7" s="94">
        <f>C7*C7-14/15</f>
        <v>6.6666666666666652E-2</v>
      </c>
      <c r="J7" s="475">
        <f>D7*D7-14/15</f>
        <v>6.6666666666666652E-2</v>
      </c>
      <c r="K7" s="744">
        <v>42</v>
      </c>
      <c r="L7" s="744">
        <v>40.457142857142856</v>
      </c>
      <c r="M7" s="524" t="s">
        <v>47</v>
      </c>
      <c r="N7" s="524" t="s">
        <v>39</v>
      </c>
      <c r="O7" s="69" t="s">
        <v>44</v>
      </c>
      <c r="P7" s="516" t="s">
        <v>43</v>
      </c>
      <c r="Q7" s="73" t="s">
        <v>33</v>
      </c>
      <c r="Y7"/>
      <c r="Z7"/>
      <c r="AA7"/>
      <c r="AB7"/>
      <c r="AC7"/>
    </row>
    <row r="8" spans="1:29">
      <c r="A8" s="448">
        <v>1</v>
      </c>
      <c r="B8" s="94">
        <v>-1</v>
      </c>
      <c r="C8" s="94">
        <v>1</v>
      </c>
      <c r="D8" s="94">
        <v>-1</v>
      </c>
      <c r="E8" s="89">
        <f>B8*C8</f>
        <v>-1</v>
      </c>
      <c r="F8" s="94">
        <f>B8*D8</f>
        <v>1</v>
      </c>
      <c r="G8" s="475">
        <f>C8*D8</f>
        <v>-1</v>
      </c>
      <c r="H8" s="94">
        <f>B8*B8-14/15</f>
        <v>6.6666666666666652E-2</v>
      </c>
      <c r="I8" s="94">
        <f>C8*C8-14/15</f>
        <v>6.6666666666666652E-2</v>
      </c>
      <c r="J8" s="475">
        <f>D8*D8-14/15</f>
        <v>6.6666666666666652E-2</v>
      </c>
      <c r="K8" s="744">
        <v>47.5</v>
      </c>
      <c r="L8" s="744">
        <v>46.685714285714283</v>
      </c>
      <c r="M8" s="524">
        <v>0</v>
      </c>
      <c r="N8" s="747">
        <f t="array" ref="N8:N17">MMULT(INV_X,XTy)</f>
        <v>53.266666666666666</v>
      </c>
      <c r="O8" s="456">
        <f t="array" ref="O8:O17">SQRT([1]!DIAG(INV_X)*P4)</f>
        <v>0.90774445743283871</v>
      </c>
      <c r="P8" s="457">
        <f>N8/O8</f>
        <v>58.68024445702298</v>
      </c>
      <c r="Q8" s="93">
        <f>TDIST(ABS(P8),O$4,2)</f>
        <v>2.7195302982164944E-8</v>
      </c>
      <c r="R8" s="1" t="str">
        <f>IF(Q8&lt;=0.05,"*","")</f>
        <v>*</v>
      </c>
      <c r="Y8"/>
      <c r="Z8"/>
      <c r="AA8"/>
      <c r="AB8"/>
      <c r="AC8"/>
    </row>
    <row r="9" spans="1:29">
      <c r="A9" s="448">
        <v>1</v>
      </c>
      <c r="B9" s="94">
        <v>-1</v>
      </c>
      <c r="C9" s="94">
        <v>-1</v>
      </c>
      <c r="D9" s="94">
        <v>1</v>
      </c>
      <c r="E9" s="89">
        <f>B9*C9</f>
        <v>1</v>
      </c>
      <c r="F9" s="94">
        <f>B9*D9</f>
        <v>-1</v>
      </c>
      <c r="G9" s="475">
        <f>C9*D9</f>
        <v>-1</v>
      </c>
      <c r="H9" s="94">
        <f>B9*B9-14/15</f>
        <v>6.6666666666666652E-2</v>
      </c>
      <c r="I9" s="94">
        <f>C9*C9-14/15</f>
        <v>6.6666666666666652E-2</v>
      </c>
      <c r="J9" s="475">
        <f>D9*D9-14/15</f>
        <v>6.6666666666666652E-2</v>
      </c>
      <c r="K9" s="744">
        <v>40.099999999999994</v>
      </c>
      <c r="L9" s="744">
        <v>38.171428571428578</v>
      </c>
      <c r="M9" s="742">
        <v>1</v>
      </c>
      <c r="N9" s="467">
        <v>11.071428571428571</v>
      </c>
      <c r="O9" s="455">
        <v>0.93960478013747062</v>
      </c>
      <c r="P9" s="1">
        <f>N9/O9</f>
        <v>11.783069653826947</v>
      </c>
      <c r="Q9" s="90">
        <f>TDIST(ABS(P9),O$4,2)</f>
        <v>7.7458329483614833E-5</v>
      </c>
      <c r="R9" s="1" t="str">
        <f>IF(Q9&lt;=0.05,"*","")</f>
        <v>*</v>
      </c>
      <c r="Y9"/>
      <c r="Z9"/>
      <c r="AA9"/>
      <c r="AB9"/>
      <c r="AC9"/>
    </row>
    <row r="10" spans="1:29">
      <c r="A10" s="448">
        <v>1</v>
      </c>
      <c r="B10" s="94">
        <v>-1</v>
      </c>
      <c r="C10" s="94">
        <v>-1</v>
      </c>
      <c r="D10" s="94">
        <v>-1</v>
      </c>
      <c r="E10" s="89">
        <f>B10*C10</f>
        <v>1</v>
      </c>
      <c r="F10" s="94">
        <f>B10*D10</f>
        <v>1</v>
      </c>
      <c r="G10" s="475">
        <f>C10*D10</f>
        <v>1</v>
      </c>
      <c r="H10" s="94">
        <f>B10*B10-14/15</f>
        <v>6.6666666666666652E-2</v>
      </c>
      <c r="I10" s="94">
        <f>C10*C10-14/15</f>
        <v>6.6666666666666652E-2</v>
      </c>
      <c r="J10" s="475">
        <f>D10*D10-14/15</f>
        <v>6.6666666666666652E-2</v>
      </c>
      <c r="K10" s="744">
        <v>41.400000000000006</v>
      </c>
      <c r="L10" s="744">
        <v>44.400000000000006</v>
      </c>
      <c r="M10" s="742">
        <v>2</v>
      </c>
      <c r="N10" s="468">
        <v>6.1428571428571415</v>
      </c>
      <c r="O10" s="455">
        <v>0.93960478013747062</v>
      </c>
      <c r="P10" s="1">
        <f>N10/O10</f>
        <v>6.5377031627684987</v>
      </c>
      <c r="Q10" s="90">
        <f>TDIST(ABS(P10),O$4,2)</f>
        <v>1.2532554204146317E-3</v>
      </c>
      <c r="R10" s="1" t="str">
        <f>IF(Q10&lt;=0.05,"*","")</f>
        <v>*</v>
      </c>
      <c r="Y10"/>
      <c r="Z10"/>
      <c r="AA10"/>
      <c r="AB10"/>
      <c r="AC10"/>
    </row>
    <row r="11" spans="1:29">
      <c r="A11" s="452">
        <v>1</v>
      </c>
      <c r="B11" s="473">
        <v>0</v>
      </c>
      <c r="C11" s="473">
        <v>0</v>
      </c>
      <c r="D11" s="473">
        <v>0</v>
      </c>
      <c r="E11" s="137">
        <f>B11*C11</f>
        <v>0</v>
      </c>
      <c r="F11" s="473">
        <f>B11*D11</f>
        <v>0</v>
      </c>
      <c r="G11" s="474">
        <f>C11*D11</f>
        <v>0</v>
      </c>
      <c r="H11" s="473">
        <f>B11*B11-14/15</f>
        <v>-0.93333333333333335</v>
      </c>
      <c r="I11" s="473">
        <f>C11*C11-14/15</f>
        <v>-0.93333333333333335</v>
      </c>
      <c r="J11" s="474">
        <f>D11*D11-14/15</f>
        <v>-0.93333333333333335</v>
      </c>
      <c r="K11" s="746">
        <v>50</v>
      </c>
      <c r="L11" s="746">
        <v>50.000000000000007</v>
      </c>
      <c r="M11" s="742">
        <v>3</v>
      </c>
      <c r="N11" s="468">
        <v>-2.1142857142857148</v>
      </c>
      <c r="O11" s="455">
        <v>0.93960478013747062</v>
      </c>
      <c r="P11" s="1">
        <f>N11/O11</f>
        <v>-2.2501862048598564</v>
      </c>
      <c r="Q11" s="90">
        <f>TDIST(ABS(P11),O$4,2)</f>
        <v>7.4259584632447417E-2</v>
      </c>
      <c r="R11" s="1" t="str">
        <f>IF(Q11&lt;=0.05,"*","")</f>
        <v/>
      </c>
      <c r="Y11"/>
      <c r="Z11"/>
      <c r="AA11"/>
      <c r="AB11"/>
      <c r="AC11"/>
    </row>
    <row r="12" spans="1:29">
      <c r="A12" s="448">
        <v>1</v>
      </c>
      <c r="B12" s="94">
        <f>SQRT(3)</f>
        <v>1.7320508075688772</v>
      </c>
      <c r="C12" s="94">
        <v>0</v>
      </c>
      <c r="D12" s="94">
        <v>0</v>
      </c>
      <c r="E12" s="89">
        <f>B12*C12</f>
        <v>0</v>
      </c>
      <c r="F12" s="94">
        <f>B12*D12</f>
        <v>0</v>
      </c>
      <c r="G12" s="475">
        <f>C12*D12</f>
        <v>0</v>
      </c>
      <c r="H12" s="94">
        <f>B12*B12-14/15</f>
        <v>2.0666666666666664</v>
      </c>
      <c r="I12" s="94">
        <f>C12*C12-14/15</f>
        <v>-0.93333333333333335</v>
      </c>
      <c r="J12" s="475">
        <f>D12*D12-14/15</f>
        <v>-0.93333333333333335</v>
      </c>
      <c r="K12" s="744">
        <v>77.41858428704208</v>
      </c>
      <c r="L12" s="744">
        <v>76.67627679808399</v>
      </c>
      <c r="M12" s="130">
        <v>12</v>
      </c>
      <c r="N12" s="467">
        <v>5</v>
      </c>
      <c r="O12" s="81">
        <v>1.2429802894656345</v>
      </c>
      <c r="P12" s="88">
        <f>N12/O12</f>
        <v>4.0225899335455537</v>
      </c>
      <c r="Q12" s="80">
        <f>TDIST(ABS(P12),O$4,2)</f>
        <v>1.009488592125068E-2</v>
      </c>
      <c r="R12" s="1" t="str">
        <f>IF(Q12&lt;=0.05,"*","")</f>
        <v>*</v>
      </c>
      <c r="Y12"/>
      <c r="Z12"/>
      <c r="AA12"/>
      <c r="AB12"/>
      <c r="AC12"/>
    </row>
    <row r="13" spans="1:29">
      <c r="A13" s="448">
        <v>1</v>
      </c>
      <c r="B13" s="94">
        <f>-B12</f>
        <v>-1.7320508075688772</v>
      </c>
      <c r="C13" s="94">
        <v>0</v>
      </c>
      <c r="D13" s="94">
        <v>0</v>
      </c>
      <c r="E13" s="89">
        <f>B13*C13</f>
        <v>0</v>
      </c>
      <c r="F13" s="94">
        <f>B13*D13</f>
        <v>0</v>
      </c>
      <c r="G13" s="475">
        <f>C13*D13</f>
        <v>0</v>
      </c>
      <c r="H13" s="94">
        <f>B13*B13-14/15</f>
        <v>2.0666666666666664</v>
      </c>
      <c r="I13" s="94">
        <f>C13*C13-14/15</f>
        <v>-0.93333333333333335</v>
      </c>
      <c r="J13" s="475">
        <f>D13*D13-14/15</f>
        <v>-0.93333333333333335</v>
      </c>
      <c r="K13" s="744">
        <v>37.581415712957913</v>
      </c>
      <c r="L13" s="744">
        <v>38.323723201915996</v>
      </c>
      <c r="M13" s="745">
        <v>13</v>
      </c>
      <c r="N13" s="468">
        <v>1</v>
      </c>
      <c r="O13" s="455">
        <v>1.2429802894656345</v>
      </c>
      <c r="P13" s="1">
        <f>N13/O13</f>
        <v>0.80451798670911079</v>
      </c>
      <c r="Q13" s="90">
        <f>TDIST(ABS(P13),O$4,2)</f>
        <v>0.45762875263413771</v>
      </c>
      <c r="R13" s="1" t="str">
        <f>IF(Q13&lt;=0.05,"*","")</f>
        <v/>
      </c>
      <c r="Y13"/>
      <c r="Z13"/>
      <c r="AA13"/>
      <c r="AB13"/>
      <c r="AC13"/>
    </row>
    <row r="14" spans="1:29">
      <c r="A14" s="448">
        <v>1</v>
      </c>
      <c r="B14" s="94">
        <v>0</v>
      </c>
      <c r="C14" s="94">
        <f>SQRT(3)</f>
        <v>1.7320508075688772</v>
      </c>
      <c r="D14" s="94">
        <v>0</v>
      </c>
      <c r="E14" s="89">
        <f>B14*C14</f>
        <v>0</v>
      </c>
      <c r="F14" s="94">
        <f>B14*D14</f>
        <v>0</v>
      </c>
      <c r="G14" s="475">
        <f>C14*D14</f>
        <v>0</v>
      </c>
      <c r="H14" s="94">
        <f>B14*B14-14/15</f>
        <v>-0.93333333333333335</v>
      </c>
      <c r="I14" s="94">
        <f>C14*C14-14/15</f>
        <v>2.0666666666666664</v>
      </c>
      <c r="J14" s="475">
        <f>D14*D14-14/15</f>
        <v>-0.93333333333333335</v>
      </c>
      <c r="K14" s="744">
        <v>58.660254037844382</v>
      </c>
      <c r="L14" s="744">
        <v>60.639740675065958</v>
      </c>
      <c r="M14" s="67">
        <v>23</v>
      </c>
      <c r="N14" s="466">
        <v>0</v>
      </c>
      <c r="O14" s="106">
        <v>1.2429802894656345</v>
      </c>
      <c r="P14" s="76">
        <f>N14/O14</f>
        <v>0</v>
      </c>
      <c r="Q14" s="77">
        <f>TDIST(ABS(P14),O$4,2)</f>
        <v>1</v>
      </c>
      <c r="R14" s="1" t="str">
        <f>IF(Q14&lt;=0.05,"*","")</f>
        <v/>
      </c>
      <c r="Y14"/>
      <c r="Z14"/>
      <c r="AA14"/>
      <c r="AB14"/>
      <c r="AC14"/>
    </row>
    <row r="15" spans="1:29">
      <c r="A15" s="448">
        <v>1</v>
      </c>
      <c r="B15" s="94">
        <v>0</v>
      </c>
      <c r="C15" s="94">
        <f>-C14</f>
        <v>-1.7320508075688772</v>
      </c>
      <c r="D15" s="94">
        <v>0</v>
      </c>
      <c r="E15" s="89">
        <f>B15*C15</f>
        <v>0</v>
      </c>
      <c r="F15" s="94">
        <f>B15*D15</f>
        <v>0</v>
      </c>
      <c r="G15" s="475">
        <f>C15*D15</f>
        <v>0</v>
      </c>
      <c r="H15" s="94">
        <f>B15*B15-14/15</f>
        <v>-0.93333333333333335</v>
      </c>
      <c r="I15" s="94">
        <f>C15*C15-14/15</f>
        <v>2.0666666666666664</v>
      </c>
      <c r="J15" s="475">
        <f>D15*D15-14/15</f>
        <v>-0.93333333333333335</v>
      </c>
      <c r="K15" s="744">
        <v>41.339745962155618</v>
      </c>
      <c r="L15" s="744">
        <v>39.360259324934042</v>
      </c>
      <c r="M15" s="742">
        <v>11</v>
      </c>
      <c r="N15" s="468">
        <v>2.4999999999999956</v>
      </c>
      <c r="O15" s="455">
        <v>1.388958728402842</v>
      </c>
      <c r="P15" s="1">
        <f>N15/O15</f>
        <v>1.7999094925410315</v>
      </c>
      <c r="Q15" s="90">
        <f>TDIST(ABS(P15),O$4,2)</f>
        <v>0.13177293659304329</v>
      </c>
      <c r="R15" s="1" t="str">
        <f>IF(Q15&lt;=0.05,"*","")</f>
        <v/>
      </c>
      <c r="Y15"/>
      <c r="Z15"/>
      <c r="AA15"/>
      <c r="AB15"/>
      <c r="AC15"/>
    </row>
    <row r="16" spans="1:29">
      <c r="A16" s="448">
        <v>1</v>
      </c>
      <c r="B16" s="94">
        <v>0</v>
      </c>
      <c r="C16" s="94">
        <v>0</v>
      </c>
      <c r="D16" s="94">
        <f>SQRT(3)</f>
        <v>1.7320508075688772</v>
      </c>
      <c r="E16" s="89">
        <f>B16*C16</f>
        <v>0</v>
      </c>
      <c r="F16" s="94">
        <f>B16*D16</f>
        <v>0</v>
      </c>
      <c r="G16" s="475">
        <f>C16*D16</f>
        <v>0</v>
      </c>
      <c r="H16" s="94">
        <f>B16*B16-14/15</f>
        <v>-0.93333333333333335</v>
      </c>
      <c r="I16" s="94">
        <f>C16*C16-14/15</f>
        <v>-0.93333333333333335</v>
      </c>
      <c r="J16" s="475">
        <f>D16*D16-14/15</f>
        <v>2.0666666666666664</v>
      </c>
      <c r="K16" s="744">
        <v>46.071796769724493</v>
      </c>
      <c r="L16" s="744">
        <v>49.337949721140085</v>
      </c>
      <c r="M16" s="742">
        <v>22</v>
      </c>
      <c r="N16" s="468">
        <v>-3.0114799542957371E-15</v>
      </c>
      <c r="O16" s="455">
        <v>1.388958728402842</v>
      </c>
      <c r="P16" s="1">
        <f>N16/O16</f>
        <v>-2.1681565425335754E-15</v>
      </c>
      <c r="Q16" s="90">
        <f>TDIST(ABS(P16),O$4,2)</f>
        <v>1</v>
      </c>
      <c r="R16" s="1" t="str">
        <f>IF(Q16&lt;=0.05,"*","")</f>
        <v/>
      </c>
      <c r="Y16"/>
      <c r="Z16"/>
      <c r="AA16"/>
      <c r="AB16"/>
      <c r="AC16"/>
    </row>
    <row r="17" spans="1:29">
      <c r="A17" s="95">
        <v>1</v>
      </c>
      <c r="B17" s="96">
        <v>0</v>
      </c>
      <c r="C17" s="96">
        <v>0</v>
      </c>
      <c r="D17" s="96">
        <f>-D16</f>
        <v>-1.7320508075688772</v>
      </c>
      <c r="E17" s="75">
        <f>B17*C17</f>
        <v>0</v>
      </c>
      <c r="F17" s="96">
        <f>B17*D17</f>
        <v>0</v>
      </c>
      <c r="G17" s="97">
        <f>C17*D17</f>
        <v>0</v>
      </c>
      <c r="H17" s="96">
        <f>B17*B17-14/15</f>
        <v>-0.93333333333333335</v>
      </c>
      <c r="I17" s="96">
        <f>C17*C17-14/15</f>
        <v>-0.93333333333333335</v>
      </c>
      <c r="J17" s="97">
        <f>D17*D17-14/15</f>
        <v>2.0666666666666664</v>
      </c>
      <c r="K17" s="743">
        <v>59.928203230275507</v>
      </c>
      <c r="L17" s="743">
        <v>56.662050278859915</v>
      </c>
      <c r="M17" s="742">
        <v>33</v>
      </c>
      <c r="N17" s="466">
        <v>0.99999999999999767</v>
      </c>
      <c r="O17" s="106">
        <v>1.388958728402842</v>
      </c>
      <c r="P17" s="76">
        <f>N17/O17</f>
        <v>0.71996379701641222</v>
      </c>
      <c r="Q17" s="77">
        <f>TDIST(ABS(P17),O$4,2)</f>
        <v>0.50378675832311082</v>
      </c>
      <c r="R17" s="1" t="str">
        <f>IF(Q17&lt;=0.05,"*","")</f>
        <v/>
      </c>
      <c r="Y17"/>
      <c r="Z17"/>
      <c r="AA17"/>
      <c r="AB17"/>
      <c r="AC17"/>
    </row>
    <row r="18" spans="1:29" ht="18.75">
      <c r="A18" s="649" t="s">
        <v>35</v>
      </c>
      <c r="B18" s="665"/>
      <c r="C18" s="665"/>
      <c r="D18" s="665"/>
      <c r="E18" s="665"/>
      <c r="F18" s="665"/>
      <c r="G18" s="665"/>
      <c r="H18" s="665"/>
      <c r="I18" s="665"/>
      <c r="J18" s="666"/>
      <c r="K18" s="524" t="s">
        <v>34</v>
      </c>
      <c r="L18" s="649" t="s">
        <v>40</v>
      </c>
      <c r="M18" s="665"/>
      <c r="N18" s="665"/>
      <c r="O18" s="665"/>
      <c r="P18" s="665"/>
      <c r="Q18" s="665"/>
      <c r="R18" s="665"/>
      <c r="S18" s="665"/>
      <c r="T18" s="665"/>
      <c r="U18" s="666"/>
      <c r="Y18"/>
      <c r="Z18"/>
      <c r="AA18"/>
      <c r="AB18"/>
      <c r="AC18"/>
    </row>
    <row r="19" spans="1:29">
      <c r="A19" s="118">
        <f t="array" ref="A19:J28">MMULT(TRANSPOSE(X),X)</f>
        <v>15</v>
      </c>
      <c r="B19" s="88">
        <v>0</v>
      </c>
      <c r="C19" s="88">
        <v>0</v>
      </c>
      <c r="D19" s="88">
        <v>0</v>
      </c>
      <c r="E19" s="81">
        <v>0</v>
      </c>
      <c r="F19" s="88">
        <v>0</v>
      </c>
      <c r="G19" s="80">
        <v>0</v>
      </c>
      <c r="H19" s="88">
        <v>-1.1102230246251565E-15</v>
      </c>
      <c r="I19" s="88">
        <v>-4.4408920985006262E-16</v>
      </c>
      <c r="J19" s="80">
        <v>-8.8817841970012523E-16</v>
      </c>
      <c r="K19" s="741">
        <f t="array" ref="K19:K28">MMULT(TRANSPOSE(X),y)</f>
        <v>799</v>
      </c>
      <c r="L19" s="456">
        <f t="array" ref="L19:U28">MINVERSE(MMULT(TRANSPOSE(X),X))</f>
        <v>6.6666666666666666E-2</v>
      </c>
      <c r="M19" s="456">
        <v>0</v>
      </c>
      <c r="N19" s="457">
        <v>0</v>
      </c>
      <c r="O19" s="93">
        <v>0</v>
      </c>
      <c r="P19" s="456">
        <v>0</v>
      </c>
      <c r="Q19" s="457">
        <v>0</v>
      </c>
      <c r="R19" s="93">
        <v>0</v>
      </c>
      <c r="S19" s="457">
        <v>2.0481363029240098E-17</v>
      </c>
      <c r="T19" s="457">
        <v>1.8014200752295305E-17</v>
      </c>
      <c r="U19" s="93">
        <v>1.9658975603591832E-17</v>
      </c>
      <c r="Y19"/>
      <c r="Z19"/>
      <c r="AA19"/>
      <c r="AB19"/>
      <c r="AC19"/>
    </row>
    <row r="20" spans="1:29">
      <c r="A20" s="118">
        <v>0</v>
      </c>
      <c r="B20" s="88">
        <v>14</v>
      </c>
      <c r="C20" s="88">
        <v>0</v>
      </c>
      <c r="D20" s="88">
        <v>0</v>
      </c>
      <c r="E20" s="81">
        <v>0</v>
      </c>
      <c r="F20" s="88">
        <v>0</v>
      </c>
      <c r="G20" s="80">
        <v>0</v>
      </c>
      <c r="H20" s="88">
        <v>0</v>
      </c>
      <c r="I20" s="88">
        <v>0</v>
      </c>
      <c r="J20" s="80">
        <v>0</v>
      </c>
      <c r="K20" s="741">
        <v>155</v>
      </c>
      <c r="L20" s="81">
        <v>0</v>
      </c>
      <c r="M20" s="81">
        <v>7.1428571428571425E-2</v>
      </c>
      <c r="N20" s="88">
        <v>0</v>
      </c>
      <c r="O20" s="80">
        <v>0</v>
      </c>
      <c r="P20" s="81">
        <v>0</v>
      </c>
      <c r="Q20" s="88">
        <v>0</v>
      </c>
      <c r="R20" s="80">
        <v>0</v>
      </c>
      <c r="S20" s="88">
        <v>0</v>
      </c>
      <c r="T20" s="88">
        <v>0</v>
      </c>
      <c r="U20" s="80">
        <v>0</v>
      </c>
      <c r="Y20"/>
      <c r="Z20"/>
      <c r="AA20"/>
      <c r="AB20"/>
      <c r="AC20"/>
    </row>
    <row r="21" spans="1:29">
      <c r="A21" s="450">
        <v>0</v>
      </c>
      <c r="B21" s="1">
        <v>0</v>
      </c>
      <c r="C21" s="1">
        <v>14</v>
      </c>
      <c r="D21" s="1">
        <v>0</v>
      </c>
      <c r="E21" s="455">
        <v>0</v>
      </c>
      <c r="F21" s="1">
        <v>0</v>
      </c>
      <c r="G21" s="90">
        <v>0</v>
      </c>
      <c r="H21" s="1">
        <v>0</v>
      </c>
      <c r="I21" s="1">
        <v>0</v>
      </c>
      <c r="J21" s="90">
        <v>0</v>
      </c>
      <c r="K21" s="740">
        <v>85.999999999999986</v>
      </c>
      <c r="L21" s="455">
        <v>0</v>
      </c>
      <c r="M21" s="455">
        <v>0</v>
      </c>
      <c r="N21" s="1">
        <v>7.1428571428571425E-2</v>
      </c>
      <c r="O21" s="90">
        <v>0</v>
      </c>
      <c r="P21" s="455">
        <v>0</v>
      </c>
      <c r="Q21" s="1">
        <v>0</v>
      </c>
      <c r="R21" s="90">
        <v>0</v>
      </c>
      <c r="S21" s="1">
        <v>0</v>
      </c>
      <c r="T21" s="1">
        <v>0</v>
      </c>
      <c r="U21" s="90">
        <v>0</v>
      </c>
      <c r="Y21"/>
      <c r="Z21"/>
      <c r="AA21"/>
      <c r="AB21"/>
      <c r="AC21"/>
    </row>
    <row r="22" spans="1:29">
      <c r="A22" s="92">
        <v>0</v>
      </c>
      <c r="B22" s="76">
        <v>0</v>
      </c>
      <c r="C22" s="76">
        <v>0</v>
      </c>
      <c r="D22" s="76">
        <v>14</v>
      </c>
      <c r="E22" s="106">
        <v>0</v>
      </c>
      <c r="F22" s="76">
        <v>0</v>
      </c>
      <c r="G22" s="77">
        <v>0</v>
      </c>
      <c r="H22" s="76">
        <v>0</v>
      </c>
      <c r="I22" s="76">
        <v>0</v>
      </c>
      <c r="J22" s="77">
        <v>0</v>
      </c>
      <c r="K22" s="739">
        <v>-29.600000000000009</v>
      </c>
      <c r="L22" s="106">
        <v>0</v>
      </c>
      <c r="M22" s="106">
        <v>0</v>
      </c>
      <c r="N22" s="76">
        <v>0</v>
      </c>
      <c r="O22" s="77">
        <v>7.1428571428571425E-2</v>
      </c>
      <c r="P22" s="106">
        <v>0</v>
      </c>
      <c r="Q22" s="76">
        <v>0</v>
      </c>
      <c r="R22" s="77">
        <v>0</v>
      </c>
      <c r="S22" s="76">
        <v>0</v>
      </c>
      <c r="T22" s="76">
        <v>0</v>
      </c>
      <c r="U22" s="77">
        <v>0</v>
      </c>
      <c r="Y22"/>
      <c r="Z22"/>
      <c r="AA22"/>
      <c r="AB22"/>
      <c r="AC22"/>
    </row>
    <row r="23" spans="1:29">
      <c r="A23" s="450">
        <v>0</v>
      </c>
      <c r="B23" s="1">
        <v>0</v>
      </c>
      <c r="C23" s="1">
        <v>0</v>
      </c>
      <c r="D23" s="1">
        <v>0</v>
      </c>
      <c r="E23" s="455">
        <v>8</v>
      </c>
      <c r="F23" s="1">
        <v>0</v>
      </c>
      <c r="G23" s="90">
        <v>0</v>
      </c>
      <c r="H23" s="1">
        <v>0</v>
      </c>
      <c r="I23" s="1">
        <v>0</v>
      </c>
      <c r="J23" s="90">
        <v>0</v>
      </c>
      <c r="K23" s="740">
        <v>40</v>
      </c>
      <c r="L23" s="81">
        <v>0</v>
      </c>
      <c r="M23" s="81">
        <v>0</v>
      </c>
      <c r="N23" s="88">
        <v>0</v>
      </c>
      <c r="O23" s="80">
        <v>0</v>
      </c>
      <c r="P23" s="81">
        <v>0.125</v>
      </c>
      <c r="Q23" s="88">
        <v>0</v>
      </c>
      <c r="R23" s="80">
        <v>0</v>
      </c>
      <c r="S23" s="88">
        <v>0</v>
      </c>
      <c r="T23" s="88">
        <v>0</v>
      </c>
      <c r="U23" s="80">
        <v>0</v>
      </c>
      <c r="Y23"/>
      <c r="Z23"/>
      <c r="AA23"/>
      <c r="AB23"/>
      <c r="AC23"/>
    </row>
    <row r="24" spans="1:29">
      <c r="A24" s="450">
        <v>0</v>
      </c>
      <c r="B24" s="1">
        <v>0</v>
      </c>
      <c r="C24" s="1">
        <v>0</v>
      </c>
      <c r="D24" s="1">
        <v>0</v>
      </c>
      <c r="E24" s="455">
        <v>0</v>
      </c>
      <c r="F24" s="1">
        <v>8</v>
      </c>
      <c r="G24" s="90">
        <v>0</v>
      </c>
      <c r="H24" s="1">
        <v>0</v>
      </c>
      <c r="I24" s="1">
        <v>0</v>
      </c>
      <c r="J24" s="90">
        <v>0</v>
      </c>
      <c r="K24" s="740">
        <v>8</v>
      </c>
      <c r="L24" s="455">
        <v>0</v>
      </c>
      <c r="M24" s="455">
        <v>0</v>
      </c>
      <c r="N24" s="1">
        <v>0</v>
      </c>
      <c r="O24" s="90">
        <v>0</v>
      </c>
      <c r="P24" s="455">
        <v>0</v>
      </c>
      <c r="Q24" s="1">
        <v>0.125</v>
      </c>
      <c r="R24" s="90">
        <v>0</v>
      </c>
      <c r="S24" s="1">
        <v>0</v>
      </c>
      <c r="T24" s="1">
        <v>0</v>
      </c>
      <c r="U24" s="90">
        <v>0</v>
      </c>
      <c r="Y24"/>
      <c r="Z24"/>
      <c r="AA24"/>
      <c r="AB24"/>
      <c r="AC24"/>
    </row>
    <row r="25" spans="1:29">
      <c r="A25" s="450">
        <v>0</v>
      </c>
      <c r="B25" s="1">
        <v>0</v>
      </c>
      <c r="C25" s="1">
        <v>0</v>
      </c>
      <c r="D25" s="1">
        <v>0</v>
      </c>
      <c r="E25" s="455">
        <v>0</v>
      </c>
      <c r="F25" s="1">
        <v>0</v>
      </c>
      <c r="G25" s="90">
        <v>8</v>
      </c>
      <c r="H25" s="1">
        <v>0</v>
      </c>
      <c r="I25" s="1">
        <v>0</v>
      </c>
      <c r="J25" s="90">
        <v>0</v>
      </c>
      <c r="K25" s="740">
        <v>0</v>
      </c>
      <c r="L25" s="455">
        <v>0</v>
      </c>
      <c r="M25" s="455">
        <v>0</v>
      </c>
      <c r="N25" s="1">
        <v>0</v>
      </c>
      <c r="O25" s="90">
        <v>0</v>
      </c>
      <c r="P25" s="455">
        <v>0</v>
      </c>
      <c r="Q25" s="1">
        <v>0</v>
      </c>
      <c r="R25" s="90">
        <v>0.125</v>
      </c>
      <c r="S25" s="1">
        <v>0</v>
      </c>
      <c r="T25" s="1">
        <v>0</v>
      </c>
      <c r="U25" s="90">
        <v>0</v>
      </c>
      <c r="Y25"/>
      <c r="Z25"/>
      <c r="AA25"/>
      <c r="AB25"/>
      <c r="AC25"/>
    </row>
    <row r="26" spans="1:29">
      <c r="A26" s="118">
        <v>-1.1102230246251565E-15</v>
      </c>
      <c r="B26" s="88">
        <v>0</v>
      </c>
      <c r="C26" s="88">
        <v>0</v>
      </c>
      <c r="D26" s="88">
        <v>0</v>
      </c>
      <c r="E26" s="81">
        <v>0</v>
      </c>
      <c r="F26" s="88">
        <v>0</v>
      </c>
      <c r="G26" s="80">
        <v>0</v>
      </c>
      <c r="H26" s="88">
        <v>12.93333333333333</v>
      </c>
      <c r="I26" s="88">
        <v>-5.0666666666666647</v>
      </c>
      <c r="J26" s="80">
        <v>-5.0666666666666655</v>
      </c>
      <c r="K26" s="741">
        <v>27.266666666666588</v>
      </c>
      <c r="L26" s="81">
        <v>2.0481363029240098E-17</v>
      </c>
      <c r="M26" s="81">
        <v>0</v>
      </c>
      <c r="N26" s="88">
        <v>0</v>
      </c>
      <c r="O26" s="80">
        <v>0</v>
      </c>
      <c r="P26" s="81">
        <v>0</v>
      </c>
      <c r="Q26" s="88">
        <v>0</v>
      </c>
      <c r="R26" s="80">
        <v>0</v>
      </c>
      <c r="S26" s="88">
        <v>0.15608465608465605</v>
      </c>
      <c r="T26" s="88">
        <v>0.10052910052910051</v>
      </c>
      <c r="U26" s="80">
        <v>0.10052910052910051</v>
      </c>
      <c r="Y26"/>
      <c r="Z26"/>
      <c r="AA26"/>
      <c r="AB26"/>
      <c r="AC26"/>
    </row>
    <row r="27" spans="1:29">
      <c r="A27" s="450">
        <v>-4.4408920985006262E-16</v>
      </c>
      <c r="B27" s="1">
        <v>0</v>
      </c>
      <c r="C27" s="1">
        <v>0</v>
      </c>
      <c r="D27" s="1">
        <v>0</v>
      </c>
      <c r="E27" s="455">
        <v>0</v>
      </c>
      <c r="F27" s="1">
        <v>0</v>
      </c>
      <c r="G27" s="90">
        <v>0</v>
      </c>
      <c r="H27" s="1">
        <v>-5.0666666666666647</v>
      </c>
      <c r="I27" s="1">
        <v>12.93333333333333</v>
      </c>
      <c r="J27" s="90">
        <v>-5.0666666666666655</v>
      </c>
      <c r="K27" s="740">
        <v>-17.733333333333363</v>
      </c>
      <c r="L27" s="455">
        <v>1.8014200752295302E-17</v>
      </c>
      <c r="M27" s="455">
        <v>0</v>
      </c>
      <c r="N27" s="1">
        <v>0</v>
      </c>
      <c r="O27" s="90">
        <v>0</v>
      </c>
      <c r="P27" s="455">
        <v>0</v>
      </c>
      <c r="Q27" s="1">
        <v>0</v>
      </c>
      <c r="R27" s="90">
        <v>0</v>
      </c>
      <c r="S27" s="1">
        <v>0.10052910052910051</v>
      </c>
      <c r="T27" s="1">
        <v>0.15608465608465608</v>
      </c>
      <c r="U27" s="90">
        <v>0.1005291005291005</v>
      </c>
      <c r="Y27"/>
      <c r="Z27"/>
      <c r="AA27"/>
      <c r="AB27"/>
      <c r="AC27"/>
    </row>
    <row r="28" spans="1:29">
      <c r="A28" s="92">
        <v>-8.8817841970012523E-16</v>
      </c>
      <c r="B28" s="76">
        <v>0</v>
      </c>
      <c r="C28" s="76">
        <v>0</v>
      </c>
      <c r="D28" s="76">
        <v>0</v>
      </c>
      <c r="E28" s="106">
        <v>0</v>
      </c>
      <c r="F28" s="76">
        <v>0</v>
      </c>
      <c r="G28" s="77">
        <v>0</v>
      </c>
      <c r="H28" s="76">
        <v>-5.0666666666666655</v>
      </c>
      <c r="I28" s="76">
        <v>-5.0666666666666655</v>
      </c>
      <c r="J28" s="77">
        <v>12.933333333333334</v>
      </c>
      <c r="K28" s="739">
        <v>0.26666666666662309</v>
      </c>
      <c r="L28" s="106">
        <v>1.9658975603591829E-17</v>
      </c>
      <c r="M28" s="106">
        <v>0</v>
      </c>
      <c r="N28" s="76">
        <v>0</v>
      </c>
      <c r="O28" s="77">
        <v>0</v>
      </c>
      <c r="P28" s="106">
        <v>0</v>
      </c>
      <c r="Q28" s="76">
        <v>0</v>
      </c>
      <c r="R28" s="77">
        <v>0</v>
      </c>
      <c r="S28" s="76">
        <v>0.1005291005291005</v>
      </c>
      <c r="T28" s="76">
        <v>0.1005291005291005</v>
      </c>
      <c r="U28" s="77">
        <v>0.15608465608465605</v>
      </c>
      <c r="Z28"/>
    </row>
    <row r="29" spans="1:29">
      <c r="Z29"/>
    </row>
    <row r="30" spans="1:29">
      <c r="Z30"/>
    </row>
    <row r="31" spans="1:29">
      <c r="W31"/>
      <c r="X31"/>
      <c r="Y31"/>
      <c r="Z31"/>
    </row>
    <row r="32" spans="1:29">
      <c r="W32"/>
      <c r="X32"/>
      <c r="Y32"/>
      <c r="Z32"/>
    </row>
    <row r="33" spans="13:26">
      <c r="W33"/>
      <c r="X33"/>
      <c r="Y33"/>
      <c r="Z33"/>
    </row>
    <row r="34" spans="13:26">
      <c r="W34"/>
      <c r="X34"/>
      <c r="Y34"/>
      <c r="Z34"/>
    </row>
    <row r="35" spans="13:26">
      <c r="W35"/>
      <c r="X35"/>
      <c r="Y35"/>
      <c r="Z35"/>
    </row>
    <row r="36" spans="13:26">
      <c r="W36"/>
      <c r="X36"/>
      <c r="Y36"/>
      <c r="Z36"/>
    </row>
    <row r="37" spans="13:26">
      <c r="W37"/>
      <c r="X37"/>
      <c r="Y37"/>
      <c r="Z37"/>
    </row>
    <row r="38" spans="13:26">
      <c r="W38"/>
      <c r="X38"/>
      <c r="Y38"/>
      <c r="Z38"/>
    </row>
    <row r="39" spans="13:26">
      <c r="W39"/>
      <c r="X39"/>
      <c r="Y39"/>
      <c r="Z39"/>
    </row>
    <row r="40" spans="13:26" customFormat="1">
      <c r="M40" s="511"/>
      <c r="N40" s="1"/>
      <c r="O40" s="1"/>
      <c r="P40" s="1"/>
      <c r="Q40" s="1"/>
      <c r="R40" s="1"/>
    </row>
    <row r="41" spans="13:26" customFormat="1">
      <c r="M41" s="511"/>
      <c r="N41" s="1"/>
      <c r="O41" s="1"/>
      <c r="P41" s="1"/>
      <c r="Q41" s="1"/>
      <c r="R41" s="1"/>
    </row>
    <row r="42" spans="13:26" customFormat="1">
      <c r="M42" s="511"/>
      <c r="N42" s="1"/>
      <c r="O42" s="1"/>
      <c r="P42" s="1"/>
      <c r="Q42" s="1"/>
      <c r="R42" s="1"/>
    </row>
    <row r="43" spans="13:26" customFormat="1">
      <c r="M43" s="511"/>
      <c r="N43" s="1"/>
      <c r="O43" s="1"/>
      <c r="P43" s="1"/>
      <c r="Q43" s="1"/>
      <c r="R43" s="1"/>
    </row>
    <row r="44" spans="13:26" customFormat="1">
      <c r="M44" s="511"/>
      <c r="N44" s="1"/>
      <c r="O44" s="1"/>
      <c r="P44" s="1"/>
      <c r="Q44" s="1"/>
      <c r="R44" s="1"/>
    </row>
    <row r="45" spans="13:26" customFormat="1">
      <c r="M45" s="511"/>
      <c r="N45" s="1"/>
      <c r="O45" s="1"/>
      <c r="P45" s="1"/>
      <c r="Q45" s="1"/>
      <c r="R45" s="1"/>
    </row>
    <row r="46" spans="13:26" customFormat="1">
      <c r="M46" s="511"/>
      <c r="N46" s="1"/>
      <c r="O46" s="1"/>
      <c r="P46" s="1"/>
      <c r="Q46" s="1"/>
      <c r="R46" s="1"/>
    </row>
    <row r="47" spans="13:26" customFormat="1">
      <c r="M47" s="511"/>
      <c r="N47" s="1"/>
      <c r="O47" s="1"/>
      <c r="P47" s="1"/>
      <c r="Q47" s="1"/>
      <c r="R47" s="1"/>
    </row>
    <row r="48" spans="13:26" customFormat="1">
      <c r="M48" s="511"/>
      <c r="N48" s="1"/>
      <c r="O48" s="1"/>
      <c r="P48" s="1"/>
      <c r="Q48" s="1"/>
      <c r="R48" s="1"/>
    </row>
    <row r="49" spans="13:18" customFormat="1">
      <c r="M49" s="511"/>
      <c r="N49" s="1"/>
      <c r="O49" s="1"/>
      <c r="P49" s="1"/>
      <c r="Q49" s="1"/>
      <c r="R49" s="1"/>
    </row>
    <row r="50" spans="13:18" customFormat="1">
      <c r="M50" s="511"/>
      <c r="N50" s="1"/>
      <c r="O50" s="1"/>
      <c r="P50" s="1"/>
      <c r="Q50" s="1"/>
      <c r="R50" s="1"/>
    </row>
    <row r="51" spans="13:18" customFormat="1">
      <c r="M51" s="511"/>
      <c r="N51" s="1"/>
      <c r="O51" s="1"/>
      <c r="P51" s="1"/>
      <c r="Q51" s="1"/>
      <c r="R51" s="1"/>
    </row>
    <row r="52" spans="13:18" customFormat="1">
      <c r="M52" s="511"/>
      <c r="N52" s="1"/>
      <c r="O52" s="1"/>
      <c r="P52" s="1"/>
      <c r="Q52" s="1"/>
      <c r="R52" s="1"/>
    </row>
    <row r="53" spans="13:18" customFormat="1">
      <c r="M53" s="511"/>
      <c r="N53" s="1"/>
      <c r="O53" s="1"/>
      <c r="P53" s="1"/>
      <c r="Q53" s="1"/>
      <c r="R53" s="1"/>
    </row>
    <row r="54" spans="13:18" customFormat="1">
      <c r="M54" s="511"/>
      <c r="N54" s="1"/>
      <c r="O54" s="1"/>
      <c r="P54" s="1"/>
      <c r="Q54" s="1"/>
      <c r="R54" s="1"/>
    </row>
    <row r="55" spans="13:18" customFormat="1">
      <c r="M55" s="511"/>
      <c r="N55" s="1"/>
      <c r="O55" s="1"/>
      <c r="P55" s="1"/>
      <c r="Q55" s="1"/>
      <c r="R55" s="1"/>
    </row>
    <row r="56" spans="13:18" customFormat="1">
      <c r="M56" s="511"/>
      <c r="N56" s="1"/>
      <c r="O56" s="1"/>
      <c r="P56" s="1"/>
      <c r="Q56" s="1"/>
      <c r="R56" s="1"/>
    </row>
    <row r="57" spans="13:18" customFormat="1">
      <c r="M57" s="511"/>
      <c r="N57" s="1"/>
      <c r="O57" s="1"/>
      <c r="P57" s="1"/>
      <c r="Q57" s="1"/>
      <c r="R57" s="1"/>
    </row>
    <row r="58" spans="13:18" customFormat="1">
      <c r="M58" s="511"/>
      <c r="N58" s="1"/>
      <c r="O58" s="1"/>
      <c r="P58" s="1"/>
      <c r="Q58" s="1"/>
      <c r="R58" s="1"/>
    </row>
    <row r="59" spans="13:18" customFormat="1">
      <c r="M59" s="511"/>
      <c r="N59" s="1"/>
      <c r="O59" s="1"/>
      <c r="P59" s="1"/>
      <c r="Q59" s="1"/>
      <c r="R59" s="1"/>
    </row>
    <row r="60" spans="13:18" customFormat="1">
      <c r="M60" s="511"/>
      <c r="N60" s="1"/>
      <c r="O60" s="1"/>
      <c r="P60" s="1"/>
      <c r="Q60" s="1"/>
      <c r="R60" s="1"/>
    </row>
    <row r="61" spans="13:18" customFormat="1">
      <c r="M61" s="511"/>
      <c r="N61" s="1"/>
      <c r="O61" s="1"/>
      <c r="P61" s="1"/>
      <c r="Q61" s="1"/>
      <c r="R61" s="1"/>
    </row>
  </sheetData>
  <mergeCells count="4">
    <mergeCell ref="A1:J1"/>
    <mergeCell ref="A18:J18"/>
    <mergeCell ref="L18:U18"/>
    <mergeCell ref="M1:R1"/>
  </mergeCells>
  <conditionalFormatting sqref="A19:J28 L19:U28">
    <cfRule type="cellIs" dxfId="10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1E87-940F-4059-9119-74752925C53F}">
  <dimension ref="A1:V40"/>
  <sheetViews>
    <sheetView topLeftCell="A19" zoomScaleNormal="100" workbookViewId="0">
      <selection activeCell="B31" sqref="B31"/>
    </sheetView>
  </sheetViews>
  <sheetFormatPr defaultColWidth="6.875" defaultRowHeight="15.75"/>
  <cols>
    <col min="1" max="1" width="6.875" style="94"/>
    <col min="2" max="4" width="6.875" style="94" customWidth="1"/>
    <col min="5" max="7" width="6.875" style="94"/>
    <col min="8" max="8" width="6.875" style="94" customWidth="1"/>
    <col min="9" max="9" width="6.875" style="94"/>
    <col min="10" max="19" width="6.875" style="94" customWidth="1"/>
    <col min="20" max="20" width="6.875" style="94"/>
    <col min="21" max="22" width="6.875" style="94" customWidth="1"/>
    <col min="23" max="16384" width="6.875" style="94"/>
  </cols>
  <sheetData>
    <row r="1" spans="8:15">
      <c r="H1"/>
      <c r="I1" s="567" t="s">
        <v>251</v>
      </c>
      <c r="J1" s="568"/>
      <c r="K1" s="568"/>
      <c r="L1" s="675"/>
      <c r="M1" s="675"/>
      <c r="N1" s="675"/>
      <c r="O1" s="674"/>
    </row>
    <row r="2" spans="8:15" s="511" customFormat="1" ht="17.25">
      <c r="H2" s="69" t="s">
        <v>10</v>
      </c>
      <c r="I2" s="69" t="s">
        <v>250</v>
      </c>
      <c r="J2" s="71" t="s">
        <v>249</v>
      </c>
      <c r="K2" s="70" t="s">
        <v>248</v>
      </c>
      <c r="L2" s="71">
        <v>12</v>
      </c>
      <c r="M2" s="71">
        <v>13</v>
      </c>
      <c r="N2" s="71">
        <v>23</v>
      </c>
      <c r="O2" s="130">
        <v>123</v>
      </c>
    </row>
    <row r="3" spans="8:15">
      <c r="H3" s="38">
        <v>1</v>
      </c>
      <c r="I3" s="738">
        <v>1</v>
      </c>
      <c r="J3" s="736">
        <v>0</v>
      </c>
      <c r="K3" s="737">
        <v>0</v>
      </c>
      <c r="L3" s="736">
        <f>I3*J3</f>
        <v>0</v>
      </c>
      <c r="M3" s="736">
        <f>I3*K3</f>
        <v>0</v>
      </c>
      <c r="N3" s="736">
        <f>J3*K3</f>
        <v>0</v>
      </c>
      <c r="O3" s="735">
        <f>PRODUCT(I3:K3)</f>
        <v>0</v>
      </c>
    </row>
    <row r="4" spans="8:15">
      <c r="H4" s="34">
        <v>2</v>
      </c>
      <c r="I4" s="730">
        <v>0</v>
      </c>
      <c r="J4" s="728">
        <v>1</v>
      </c>
      <c r="K4" s="729">
        <f>1-SUM(I4:J4)</f>
        <v>0</v>
      </c>
      <c r="L4" s="728">
        <f>I4*J4</f>
        <v>0</v>
      </c>
      <c r="M4" s="728">
        <f>I4*K4</f>
        <v>0</v>
      </c>
      <c r="N4" s="728">
        <f>J4*K4</f>
        <v>0</v>
      </c>
      <c r="O4" s="727">
        <f>PRODUCT(I4:K4)</f>
        <v>0</v>
      </c>
    </row>
    <row r="5" spans="8:15">
      <c r="H5" s="63">
        <v>3</v>
      </c>
      <c r="I5" s="734">
        <v>0</v>
      </c>
      <c r="J5" s="732">
        <v>0</v>
      </c>
      <c r="K5" s="733">
        <f>1-SUM(I5:J5)</f>
        <v>1</v>
      </c>
      <c r="L5" s="732">
        <f>I5*J5</f>
        <v>0</v>
      </c>
      <c r="M5" s="732">
        <f>I5*K5</f>
        <v>0</v>
      </c>
      <c r="N5" s="732">
        <f>J5*K5</f>
        <v>0</v>
      </c>
      <c r="O5" s="731">
        <f>PRODUCT(I5:K5)</f>
        <v>0</v>
      </c>
    </row>
    <row r="6" spans="8:15">
      <c r="H6" s="34">
        <v>12</v>
      </c>
      <c r="I6" s="730">
        <v>0.5</v>
      </c>
      <c r="J6" s="728">
        <v>0.5</v>
      </c>
      <c r="K6" s="729">
        <f>1-SUM(I6:J6)</f>
        <v>0</v>
      </c>
      <c r="L6" s="728">
        <f>I6*J6</f>
        <v>0.25</v>
      </c>
      <c r="M6" s="728">
        <f>I6*K6</f>
        <v>0</v>
      </c>
      <c r="N6" s="728">
        <f>J6*K6</f>
        <v>0</v>
      </c>
      <c r="O6" s="727">
        <f>PRODUCT(I6:K6)</f>
        <v>0</v>
      </c>
    </row>
    <row r="7" spans="8:15">
      <c r="H7" s="34">
        <v>13</v>
      </c>
      <c r="I7" s="730">
        <v>0.5</v>
      </c>
      <c r="J7" s="728">
        <v>0</v>
      </c>
      <c r="K7" s="729">
        <f>1-SUM(I7:J7)</f>
        <v>0.5</v>
      </c>
      <c r="L7" s="728">
        <f>I7*J7</f>
        <v>0</v>
      </c>
      <c r="M7" s="728">
        <f>I7*K7</f>
        <v>0.25</v>
      </c>
      <c r="N7" s="728">
        <f>J7*K7</f>
        <v>0</v>
      </c>
      <c r="O7" s="727">
        <f>PRODUCT(I7:K7)</f>
        <v>0</v>
      </c>
    </row>
    <row r="8" spans="8:15">
      <c r="H8" s="34">
        <v>23</v>
      </c>
      <c r="I8" s="730">
        <v>0</v>
      </c>
      <c r="J8" s="728">
        <v>0.5</v>
      </c>
      <c r="K8" s="729">
        <f>1-SUM(I8:J8)</f>
        <v>0.5</v>
      </c>
      <c r="L8" s="728">
        <f>I8*J8</f>
        <v>0</v>
      </c>
      <c r="M8" s="728">
        <f>I8*K8</f>
        <v>0</v>
      </c>
      <c r="N8" s="728">
        <f>J8*K8</f>
        <v>0.25</v>
      </c>
      <c r="O8" s="727">
        <f>PRODUCT(I8:K8)</f>
        <v>0</v>
      </c>
    </row>
    <row r="9" spans="8:15">
      <c r="H9" s="719">
        <v>123</v>
      </c>
      <c r="I9" s="726">
        <f>1/3</f>
        <v>0.33333333333333331</v>
      </c>
      <c r="J9" s="724">
        <f>1/3</f>
        <v>0.33333333333333331</v>
      </c>
      <c r="K9" s="725">
        <f>1-SUM(I9:J9)</f>
        <v>0.33333333333333337</v>
      </c>
      <c r="L9" s="724">
        <f>I9*J9</f>
        <v>0.1111111111111111</v>
      </c>
      <c r="M9" s="724">
        <f>I9*K9</f>
        <v>0.11111111111111112</v>
      </c>
      <c r="N9" s="724">
        <f>J9*K9</f>
        <v>0.11111111111111112</v>
      </c>
      <c r="O9" s="723">
        <f>PRODUCT(I9:K9)</f>
        <v>3.7037037037037042E-2</v>
      </c>
    </row>
    <row r="10" spans="8:15" ht="18.75">
      <c r="H10" s="69" t="s">
        <v>10</v>
      </c>
      <c r="I10" s="559" t="s">
        <v>244</v>
      </c>
      <c r="J10" s="722"/>
      <c r="K10" s="722"/>
      <c r="L10" s="721"/>
      <c r="M10" s="721"/>
      <c r="N10" s="721"/>
      <c r="O10" s="720"/>
    </row>
    <row r="11" spans="8:15">
      <c r="H11" s="38">
        <v>1</v>
      </c>
      <c r="I11" s="87">
        <f t="array" ref="I11:O17">MINVERSE(I3:O9)</f>
        <v>1</v>
      </c>
      <c r="J11" s="40">
        <v>0</v>
      </c>
      <c r="K11" s="41">
        <v>0</v>
      </c>
      <c r="L11" s="40">
        <v>0</v>
      </c>
      <c r="M11" s="40">
        <v>0</v>
      </c>
      <c r="N11" s="40">
        <v>0</v>
      </c>
      <c r="O11" s="39">
        <v>0</v>
      </c>
    </row>
    <row r="12" spans="8:15">
      <c r="H12" s="34">
        <v>2</v>
      </c>
      <c r="I12" s="89">
        <v>0</v>
      </c>
      <c r="J12" s="94">
        <v>1</v>
      </c>
      <c r="K12" s="475">
        <v>0</v>
      </c>
      <c r="L12" s="94">
        <v>0</v>
      </c>
      <c r="M12" s="94">
        <v>0</v>
      </c>
      <c r="N12" s="94">
        <v>0</v>
      </c>
      <c r="O12" s="448">
        <v>0</v>
      </c>
    </row>
    <row r="13" spans="8:15">
      <c r="H13" s="63">
        <v>3</v>
      </c>
      <c r="I13" s="75">
        <v>0</v>
      </c>
      <c r="J13" s="96">
        <v>0</v>
      </c>
      <c r="K13" s="97">
        <v>1</v>
      </c>
      <c r="L13" s="96">
        <v>0</v>
      </c>
      <c r="M13" s="96">
        <v>0</v>
      </c>
      <c r="N13" s="96">
        <v>0</v>
      </c>
      <c r="O13" s="95">
        <v>0</v>
      </c>
    </row>
    <row r="14" spans="8:15">
      <c r="H14" s="34">
        <v>12</v>
      </c>
      <c r="I14" s="89">
        <v>-2</v>
      </c>
      <c r="J14" s="94">
        <v>-2</v>
      </c>
      <c r="K14" s="475">
        <v>0</v>
      </c>
      <c r="L14" s="94">
        <v>4</v>
      </c>
      <c r="M14" s="94">
        <v>0</v>
      </c>
      <c r="N14" s="94">
        <v>0</v>
      </c>
      <c r="O14" s="448">
        <v>0</v>
      </c>
    </row>
    <row r="15" spans="8:15">
      <c r="H15" s="34">
        <v>13</v>
      </c>
      <c r="I15" s="89">
        <v>-2</v>
      </c>
      <c r="J15" s="94">
        <v>0</v>
      </c>
      <c r="K15" s="475">
        <v>-2</v>
      </c>
      <c r="L15" s="94">
        <v>0</v>
      </c>
      <c r="M15" s="94">
        <v>4</v>
      </c>
      <c r="N15" s="94">
        <v>0</v>
      </c>
      <c r="O15" s="448">
        <v>0</v>
      </c>
    </row>
    <row r="16" spans="8:15">
      <c r="H16" s="34">
        <v>23</v>
      </c>
      <c r="I16" s="89">
        <v>0</v>
      </c>
      <c r="J16" s="94">
        <v>-2</v>
      </c>
      <c r="K16" s="475">
        <v>-2</v>
      </c>
      <c r="L16" s="94">
        <v>0</v>
      </c>
      <c r="M16" s="94">
        <v>0</v>
      </c>
      <c r="N16" s="94">
        <v>4</v>
      </c>
      <c r="O16" s="448">
        <v>0</v>
      </c>
    </row>
    <row r="17" spans="1:22">
      <c r="H17" s="719">
        <v>123</v>
      </c>
      <c r="I17" s="137">
        <v>3</v>
      </c>
      <c r="J17" s="473">
        <v>3</v>
      </c>
      <c r="K17" s="474">
        <v>2.9999999999999996</v>
      </c>
      <c r="L17" s="473">
        <v>-11.999999999999998</v>
      </c>
      <c r="M17" s="473">
        <v>-12</v>
      </c>
      <c r="N17" s="473">
        <v>-12</v>
      </c>
      <c r="O17" s="452">
        <v>26.999999999999996</v>
      </c>
    </row>
    <row r="18" spans="1:22">
      <c r="A18"/>
      <c r="B18" s="567" t="s">
        <v>247</v>
      </c>
      <c r="C18" s="568"/>
      <c r="D18" s="568"/>
      <c r="E18" s="675"/>
      <c r="F18" s="675"/>
      <c r="G18" s="675"/>
      <c r="H18" s="675"/>
      <c r="I18" s="675"/>
      <c r="J18" s="675"/>
      <c r="K18" s="674"/>
      <c r="L18"/>
      <c r="M18" s="567" t="s">
        <v>246</v>
      </c>
      <c r="N18" s="568"/>
      <c r="O18" s="568"/>
      <c r="P18" s="675"/>
      <c r="Q18" s="675"/>
      <c r="R18" s="675"/>
      <c r="S18" s="675"/>
      <c r="T18" s="675"/>
      <c r="U18" s="675"/>
      <c r="V18" s="674"/>
    </row>
    <row r="19" spans="1:22" ht="18.75">
      <c r="A19" s="130" t="s">
        <v>10</v>
      </c>
      <c r="B19" s="464">
        <v>1</v>
      </c>
      <c r="C19" s="464">
        <v>2</v>
      </c>
      <c r="D19" s="464">
        <v>3</v>
      </c>
      <c r="E19" s="69">
        <v>112</v>
      </c>
      <c r="F19" s="71">
        <v>113</v>
      </c>
      <c r="G19" s="71">
        <v>122</v>
      </c>
      <c r="H19" s="130">
        <v>123</v>
      </c>
      <c r="I19" s="718">
        <v>133</v>
      </c>
      <c r="J19" s="718">
        <v>223</v>
      </c>
      <c r="K19" s="717">
        <v>233</v>
      </c>
      <c r="L19" s="130" t="s">
        <v>10</v>
      </c>
      <c r="M19" s="71">
        <v>1</v>
      </c>
      <c r="N19" s="71">
        <v>2</v>
      </c>
      <c r="O19" s="71">
        <v>3</v>
      </c>
      <c r="P19" s="69">
        <v>12</v>
      </c>
      <c r="Q19" s="71">
        <v>13</v>
      </c>
      <c r="R19" s="70">
        <v>23</v>
      </c>
      <c r="S19" s="504">
        <v>1123</v>
      </c>
      <c r="T19" s="718">
        <v>1223</v>
      </c>
      <c r="U19" s="717">
        <v>1233</v>
      </c>
      <c r="V19" s="717" t="s">
        <v>245</v>
      </c>
    </row>
    <row r="20" spans="1:22">
      <c r="A20" s="669">
        <v>1</v>
      </c>
      <c r="B20" s="691">
        <v>1</v>
      </c>
      <c r="C20" s="691">
        <v>0</v>
      </c>
      <c r="D20" s="691">
        <f>1-B20-C20</f>
        <v>0</v>
      </c>
      <c r="E20" s="699">
        <f>B20^2*C20</f>
        <v>0</v>
      </c>
      <c r="F20" s="697">
        <f>B20^2*D20</f>
        <v>0</v>
      </c>
      <c r="G20" s="697">
        <f>B20*C20^2</f>
        <v>0</v>
      </c>
      <c r="H20" s="698">
        <f>PRODUCT(B20:D20)</f>
        <v>0</v>
      </c>
      <c r="I20" s="697">
        <f>B20*D20^2</f>
        <v>0</v>
      </c>
      <c r="J20" s="697">
        <f>C20^2*D20</f>
        <v>0</v>
      </c>
      <c r="K20" s="696">
        <f>C20*D20^2</f>
        <v>0</v>
      </c>
      <c r="L20" s="669">
        <v>1</v>
      </c>
      <c r="M20" s="713">
        <v>1</v>
      </c>
      <c r="N20" s="713">
        <v>0</v>
      </c>
      <c r="O20" s="713">
        <v>0</v>
      </c>
      <c r="P20" s="714">
        <f>M20*N20</f>
        <v>0</v>
      </c>
      <c r="Q20" s="713">
        <f>M20*O20</f>
        <v>0</v>
      </c>
      <c r="R20" s="712">
        <f>N20*O20</f>
        <v>0</v>
      </c>
      <c r="S20" s="714">
        <f>M20^2*N20*O20</f>
        <v>0</v>
      </c>
      <c r="T20" s="713">
        <f>M20*N20^2*O20</f>
        <v>0</v>
      </c>
      <c r="U20" s="712">
        <f>M20*N20*O20^2</f>
        <v>0</v>
      </c>
      <c r="V20" s="696">
        <f>PRODUCT(M20:O20)^2</f>
        <v>0</v>
      </c>
    </row>
    <row r="21" spans="1:22">
      <c r="A21" s="668">
        <v>2</v>
      </c>
      <c r="B21" s="691">
        <v>0</v>
      </c>
      <c r="C21" s="691">
        <f>1</f>
        <v>1</v>
      </c>
      <c r="D21" s="691">
        <f>1-B21-C21</f>
        <v>0</v>
      </c>
      <c r="E21" s="690">
        <f>B21^2*C21</f>
        <v>0</v>
      </c>
      <c r="F21" s="688">
        <f>B21^2*D21</f>
        <v>0</v>
      </c>
      <c r="G21" s="688">
        <f>B21*C21^2</f>
        <v>0</v>
      </c>
      <c r="H21" s="689">
        <f>PRODUCT(B21:D21)</f>
        <v>0</v>
      </c>
      <c r="I21" s="688">
        <f>B21*D21^2</f>
        <v>0</v>
      </c>
      <c r="J21" s="688">
        <f>C21^2*D21</f>
        <v>0</v>
      </c>
      <c r="K21" s="687">
        <f>C21*D21^2</f>
        <v>0</v>
      </c>
      <c r="L21" s="668">
        <v>2</v>
      </c>
      <c r="M21" s="710">
        <v>0</v>
      </c>
      <c r="N21" s="710">
        <v>1</v>
      </c>
      <c r="O21" s="710">
        <v>0</v>
      </c>
      <c r="P21" s="711">
        <f>M21*N21</f>
        <v>0</v>
      </c>
      <c r="Q21" s="710">
        <f>M21*O21</f>
        <v>0</v>
      </c>
      <c r="R21" s="709">
        <f>N21*O21</f>
        <v>0</v>
      </c>
      <c r="S21" s="711">
        <f>M21^2*N21*O21</f>
        <v>0</v>
      </c>
      <c r="T21" s="710">
        <f>M21*N21^2*O21</f>
        <v>0</v>
      </c>
      <c r="U21" s="709">
        <f>M21*N21*O21^2</f>
        <v>0</v>
      </c>
      <c r="V21" s="687">
        <f>PRODUCT(M21:O21)^2</f>
        <v>0</v>
      </c>
    </row>
    <row r="22" spans="1:22">
      <c r="A22" s="667">
        <v>3</v>
      </c>
      <c r="B22" s="685">
        <v>0</v>
      </c>
      <c r="C22" s="685">
        <v>0</v>
      </c>
      <c r="D22" s="685">
        <f>1-B22-C22</f>
        <v>1</v>
      </c>
      <c r="E22" s="690">
        <f>B22^2*C22</f>
        <v>0</v>
      </c>
      <c r="F22" s="688">
        <f>B22^2*D22</f>
        <v>0</v>
      </c>
      <c r="G22" s="688">
        <f>B22*C22^2</f>
        <v>0</v>
      </c>
      <c r="H22" s="689">
        <f>PRODUCT(B22:D22)</f>
        <v>0</v>
      </c>
      <c r="I22" s="688">
        <f>B22*D22^2</f>
        <v>0</v>
      </c>
      <c r="J22" s="688">
        <f>C22^2*D22</f>
        <v>0</v>
      </c>
      <c r="K22" s="687">
        <f>C22*D22^2</f>
        <v>0</v>
      </c>
      <c r="L22" s="667">
        <v>3</v>
      </c>
      <c r="M22" s="710">
        <v>0</v>
      </c>
      <c r="N22" s="710">
        <v>0</v>
      </c>
      <c r="O22" s="710">
        <v>1</v>
      </c>
      <c r="P22" s="711">
        <f>M22*N22</f>
        <v>0</v>
      </c>
      <c r="Q22" s="710">
        <f>M22*O22</f>
        <v>0</v>
      </c>
      <c r="R22" s="709">
        <f>N22*O22</f>
        <v>0</v>
      </c>
      <c r="S22" s="707">
        <f>M22^2*N22*O22</f>
        <v>0</v>
      </c>
      <c r="T22" s="706">
        <f>M22*N22^2*O22</f>
        <v>0</v>
      </c>
      <c r="U22" s="705">
        <f>M22*N22*O22^2</f>
        <v>0</v>
      </c>
      <c r="V22" s="687">
        <f>PRODUCT(M22:O22)^2</f>
        <v>0</v>
      </c>
    </row>
    <row r="23" spans="1:22">
      <c r="A23" s="668">
        <v>112</v>
      </c>
      <c r="B23" s="691">
        <f>2/3</f>
        <v>0.66666666666666663</v>
      </c>
      <c r="C23" s="691">
        <f>1/3</f>
        <v>0.33333333333333331</v>
      </c>
      <c r="D23" s="691">
        <f>1-B23-C23</f>
        <v>0</v>
      </c>
      <c r="E23" s="699">
        <f>B23^2*C23</f>
        <v>0.14814814814814814</v>
      </c>
      <c r="F23" s="697">
        <f>B23^2*D23</f>
        <v>0</v>
      </c>
      <c r="G23" s="697">
        <f>B23*C23^2</f>
        <v>7.407407407407407E-2</v>
      </c>
      <c r="H23" s="698">
        <f>PRODUCT(B23:D23)</f>
        <v>0</v>
      </c>
      <c r="I23" s="697">
        <f>B23*D23^2</f>
        <v>0</v>
      </c>
      <c r="J23" s="697">
        <f>C23^2*D23</f>
        <v>0</v>
      </c>
      <c r="K23" s="696">
        <f>C23*D23^2</f>
        <v>0</v>
      </c>
      <c r="L23" s="668">
        <v>12</v>
      </c>
      <c r="M23" s="715">
        <v>0.5</v>
      </c>
      <c r="N23" s="715">
        <v>0.5</v>
      </c>
      <c r="O23" s="713">
        <v>0</v>
      </c>
      <c r="P23" s="716">
        <f>M23*N23</f>
        <v>0.25</v>
      </c>
      <c r="Q23" s="715">
        <f>M23*O23</f>
        <v>0</v>
      </c>
      <c r="R23" s="712">
        <f>N23*O23</f>
        <v>0</v>
      </c>
      <c r="S23" s="714">
        <f>M23^2*N23*O23</f>
        <v>0</v>
      </c>
      <c r="T23" s="713">
        <f>M23*N23^2*O23</f>
        <v>0</v>
      </c>
      <c r="U23" s="712">
        <f>M23*N23*O23^2</f>
        <v>0</v>
      </c>
      <c r="V23" s="696">
        <f>PRODUCT(M23:O23)^2</f>
        <v>0</v>
      </c>
    </row>
    <row r="24" spans="1:22">
      <c r="A24" s="668">
        <v>113</v>
      </c>
      <c r="B24" s="691">
        <f>2/3</f>
        <v>0.66666666666666663</v>
      </c>
      <c r="C24" s="691">
        <v>0</v>
      </c>
      <c r="D24" s="691">
        <f>1-B24-C24</f>
        <v>0.33333333333333337</v>
      </c>
      <c r="E24" s="690">
        <f>B24^2*C24</f>
        <v>0</v>
      </c>
      <c r="F24" s="688">
        <f>B24^2*D24</f>
        <v>0.14814814814814817</v>
      </c>
      <c r="G24" s="688">
        <f>B24*C24^2</f>
        <v>0</v>
      </c>
      <c r="H24" s="689">
        <f>PRODUCT(B24:D24)</f>
        <v>0</v>
      </c>
      <c r="I24" s="688">
        <f>B24*D24^2</f>
        <v>7.4074074074074084E-2</v>
      </c>
      <c r="J24" s="688">
        <f>C24^2*D24</f>
        <v>0</v>
      </c>
      <c r="K24" s="687">
        <f>C24*D24^2</f>
        <v>0</v>
      </c>
      <c r="L24" s="668">
        <v>13</v>
      </c>
      <c r="M24" s="691">
        <v>0.5</v>
      </c>
      <c r="N24" s="710">
        <v>0</v>
      </c>
      <c r="O24" s="691">
        <v>0.5</v>
      </c>
      <c r="P24" s="711">
        <f>M24*N24</f>
        <v>0</v>
      </c>
      <c r="Q24" s="691">
        <f>M24*O24</f>
        <v>0.25</v>
      </c>
      <c r="R24" s="709">
        <f>N24*O24</f>
        <v>0</v>
      </c>
      <c r="S24" s="711">
        <f>M24^2*N24*O24</f>
        <v>0</v>
      </c>
      <c r="T24" s="710">
        <f>M24*N24^2*O24</f>
        <v>0</v>
      </c>
      <c r="U24" s="709">
        <f>M24*N24*O24^2</f>
        <v>0</v>
      </c>
      <c r="V24" s="687">
        <f>PRODUCT(M24:O24)^2</f>
        <v>0</v>
      </c>
    </row>
    <row r="25" spans="1:22">
      <c r="A25" s="668">
        <v>122</v>
      </c>
      <c r="B25" s="691">
        <f>1/3</f>
        <v>0.33333333333333331</v>
      </c>
      <c r="C25" s="691">
        <v>0.66666666666666663</v>
      </c>
      <c r="D25" s="691">
        <f>1-B25-C25</f>
        <v>0</v>
      </c>
      <c r="E25" s="684">
        <f>B25^2*C25</f>
        <v>7.407407407407407E-2</v>
      </c>
      <c r="F25" s="678">
        <f>B25^2*D25</f>
        <v>0</v>
      </c>
      <c r="G25" s="678">
        <f>B25*C25^2</f>
        <v>0.14814814814814814</v>
      </c>
      <c r="H25" s="683">
        <f>PRODUCT(B25:D25)</f>
        <v>0</v>
      </c>
      <c r="I25" s="678">
        <f>B25*D25^2</f>
        <v>0</v>
      </c>
      <c r="J25" s="678">
        <f>C25^2*D25</f>
        <v>0</v>
      </c>
      <c r="K25" s="682">
        <f>C25*D25^2</f>
        <v>0</v>
      </c>
      <c r="L25" s="668">
        <v>23</v>
      </c>
      <c r="M25" s="706">
        <v>0</v>
      </c>
      <c r="N25" s="685">
        <v>0.5</v>
      </c>
      <c r="O25" s="685">
        <v>0.5</v>
      </c>
      <c r="P25" s="707">
        <f>M25*N25</f>
        <v>0</v>
      </c>
      <c r="Q25" s="706">
        <f>M25*O25</f>
        <v>0</v>
      </c>
      <c r="R25" s="708">
        <f>N25*O25</f>
        <v>0.25</v>
      </c>
      <c r="S25" s="707">
        <f>M25^2*N25*O25</f>
        <v>0</v>
      </c>
      <c r="T25" s="706">
        <f>M25*N25^2*O25</f>
        <v>0</v>
      </c>
      <c r="U25" s="705">
        <f>M25*N25*O25^2</f>
        <v>0</v>
      </c>
      <c r="V25" s="682">
        <f>PRODUCT(M25:O25)^2</f>
        <v>0</v>
      </c>
    </row>
    <row r="26" spans="1:22">
      <c r="A26" s="670">
        <v>123</v>
      </c>
      <c r="B26" s="704">
        <f>1/3</f>
        <v>0.33333333333333331</v>
      </c>
      <c r="C26" s="704">
        <f>1/3</f>
        <v>0.33333333333333331</v>
      </c>
      <c r="D26" s="704">
        <f>1-B26-C26</f>
        <v>0.33333333333333343</v>
      </c>
      <c r="E26" s="690">
        <f>B26^2*C26</f>
        <v>3.7037037037037035E-2</v>
      </c>
      <c r="F26" s="688">
        <f>B26^2*D26</f>
        <v>3.7037037037037042E-2</v>
      </c>
      <c r="G26" s="688">
        <f>B26*C26^2</f>
        <v>3.7037037037037035E-2</v>
      </c>
      <c r="H26" s="689">
        <f>PRODUCT(B26:D26)</f>
        <v>3.7037037037037042E-2</v>
      </c>
      <c r="I26" s="688">
        <f>B26*D26^2</f>
        <v>3.7037037037037056E-2</v>
      </c>
      <c r="J26" s="688">
        <f>C26^2*D26</f>
        <v>3.7037037037037042E-2</v>
      </c>
      <c r="K26" s="687">
        <f>C26*D26^2</f>
        <v>3.7037037037037056E-2</v>
      </c>
      <c r="L26" s="669">
        <v>1123</v>
      </c>
      <c r="M26" s="702">
        <f>2/3</f>
        <v>0.66666666666666663</v>
      </c>
      <c r="N26" s="702">
        <f>1/6</f>
        <v>0.16666666666666666</v>
      </c>
      <c r="O26" s="702">
        <f>1/6</f>
        <v>0.16666666666666666</v>
      </c>
      <c r="P26" s="703">
        <f>M26*N26</f>
        <v>0.1111111111111111</v>
      </c>
      <c r="Q26" s="702">
        <f>M26*O26</f>
        <v>0.1111111111111111</v>
      </c>
      <c r="R26" s="702">
        <f>N26*O26</f>
        <v>2.7777777777777776E-2</v>
      </c>
      <c r="S26" s="703">
        <f>M26^2*N26*O26</f>
        <v>1.2345679012345678E-2</v>
      </c>
      <c r="T26" s="702">
        <f>M26*N26^2*O26</f>
        <v>3.0864197530864196E-3</v>
      </c>
      <c r="U26" s="701">
        <f>M26*N26*O26^2</f>
        <v>3.0864197530864196E-3</v>
      </c>
      <c r="V26" s="700">
        <f>PRODUCT(M26:O26)^2</f>
        <v>3.4293552812071328E-4</v>
      </c>
    </row>
    <row r="27" spans="1:22">
      <c r="A27" s="668">
        <v>133</v>
      </c>
      <c r="B27" s="691">
        <f>1/3</f>
        <v>0.33333333333333331</v>
      </c>
      <c r="C27" s="691">
        <v>0</v>
      </c>
      <c r="D27" s="691">
        <f>1-B27-C27</f>
        <v>0.66666666666666674</v>
      </c>
      <c r="E27" s="699">
        <f>B27^2*C27</f>
        <v>0</v>
      </c>
      <c r="F27" s="697">
        <f>B27^2*D27</f>
        <v>7.4074074074074084E-2</v>
      </c>
      <c r="G27" s="697">
        <f>B27*C27^2</f>
        <v>0</v>
      </c>
      <c r="H27" s="698">
        <f>PRODUCT(B27:D27)</f>
        <v>0</v>
      </c>
      <c r="I27" s="697">
        <f>B27*D27^2</f>
        <v>0.14814814814814817</v>
      </c>
      <c r="J27" s="697">
        <f>C27^2*D27</f>
        <v>0</v>
      </c>
      <c r="K27" s="696">
        <f>C27*D27^2</f>
        <v>0</v>
      </c>
      <c r="L27" s="668">
        <v>1223</v>
      </c>
      <c r="M27" s="695">
        <f>1/6</f>
        <v>0.16666666666666666</v>
      </c>
      <c r="N27" s="694">
        <f>2/3</f>
        <v>0.66666666666666663</v>
      </c>
      <c r="O27" s="694">
        <f>1/6</f>
        <v>0.16666666666666666</v>
      </c>
      <c r="P27" s="695">
        <f>M27*N27</f>
        <v>0.1111111111111111</v>
      </c>
      <c r="Q27" s="694">
        <f>M27*O27</f>
        <v>2.7777777777777776E-2</v>
      </c>
      <c r="R27" s="693">
        <f>N27*O27</f>
        <v>0.1111111111111111</v>
      </c>
      <c r="S27" s="695">
        <f>M27^2*N27*O27</f>
        <v>3.0864197530864196E-3</v>
      </c>
      <c r="T27" s="694">
        <f>M27*N27^2*O27</f>
        <v>1.2345679012345678E-2</v>
      </c>
      <c r="U27" s="693">
        <f>M27*N27*O27^2</f>
        <v>3.0864197530864196E-3</v>
      </c>
      <c r="V27" s="692">
        <f>PRODUCT(M27:O27)^2</f>
        <v>3.4293552812071328E-4</v>
      </c>
    </row>
    <row r="28" spans="1:22">
      <c r="A28" s="668">
        <v>223</v>
      </c>
      <c r="B28" s="691">
        <v>0</v>
      </c>
      <c r="C28" s="691">
        <f>2/3</f>
        <v>0.66666666666666663</v>
      </c>
      <c r="D28" s="691">
        <f>1-B28-C28</f>
        <v>0.33333333333333337</v>
      </c>
      <c r="E28" s="690">
        <f>B28^2*C28</f>
        <v>0</v>
      </c>
      <c r="F28" s="688">
        <f>B28^2*D28</f>
        <v>0</v>
      </c>
      <c r="G28" s="688">
        <f>B28*C28^2</f>
        <v>0</v>
      </c>
      <c r="H28" s="689">
        <f>PRODUCT(B28:D28)</f>
        <v>0</v>
      </c>
      <c r="I28" s="688">
        <f>B28*D28^2</f>
        <v>0</v>
      </c>
      <c r="J28" s="688">
        <f>C28^2*D28</f>
        <v>0.14814814814814817</v>
      </c>
      <c r="K28" s="687">
        <f>C28*D28^2</f>
        <v>7.4074074074074084E-2</v>
      </c>
      <c r="L28" s="667">
        <v>1233</v>
      </c>
      <c r="M28" s="681">
        <f>1/6</f>
        <v>0.16666666666666666</v>
      </c>
      <c r="N28" s="680">
        <f>1/6</f>
        <v>0.16666666666666666</v>
      </c>
      <c r="O28" s="680">
        <f>2/3</f>
        <v>0.66666666666666663</v>
      </c>
      <c r="P28" s="681">
        <f>M28*N28</f>
        <v>2.7777777777777776E-2</v>
      </c>
      <c r="Q28" s="680">
        <f>M28*O28</f>
        <v>0.1111111111111111</v>
      </c>
      <c r="R28" s="679">
        <f>N28*O28</f>
        <v>0.1111111111111111</v>
      </c>
      <c r="S28" s="681">
        <f>M28^2*N28*O28</f>
        <v>3.0864197530864196E-3</v>
      </c>
      <c r="T28" s="680">
        <f>M28*N28^2*O28</f>
        <v>3.0864197530864196E-3</v>
      </c>
      <c r="U28" s="679">
        <f>M28*N28*O28^2</f>
        <v>1.2345679012345678E-2</v>
      </c>
      <c r="V28" s="686">
        <f>PRODUCT(M28:O28)^2</f>
        <v>3.4293552812071328E-4</v>
      </c>
    </row>
    <row r="29" spans="1:22" ht="18.75">
      <c r="A29" s="667">
        <v>233</v>
      </c>
      <c r="B29" s="685">
        <v>0</v>
      </c>
      <c r="C29" s="685">
        <f>1/3</f>
        <v>0.33333333333333331</v>
      </c>
      <c r="D29" s="685">
        <f>1-B29-C29</f>
        <v>0.66666666666666674</v>
      </c>
      <c r="E29" s="684">
        <f>B29^2*C29</f>
        <v>0</v>
      </c>
      <c r="F29" s="678">
        <f>B29^2*D29</f>
        <v>0</v>
      </c>
      <c r="G29" s="678">
        <f>B29*C29^2</f>
        <v>0</v>
      </c>
      <c r="H29" s="683">
        <f>PRODUCT(B29:D29)</f>
        <v>0</v>
      </c>
      <c r="I29" s="678">
        <f>B29*D29^2</f>
        <v>0</v>
      </c>
      <c r="J29" s="678">
        <f>C29^2*D29</f>
        <v>7.4074074074074084E-2</v>
      </c>
      <c r="K29" s="682">
        <f>C29*D29^2</f>
        <v>0.14814814814814817</v>
      </c>
      <c r="L29" s="667" t="s">
        <v>243</v>
      </c>
      <c r="M29" s="681">
        <f>1/3</f>
        <v>0.33333333333333331</v>
      </c>
      <c r="N29" s="680">
        <f>1/3</f>
        <v>0.33333333333333331</v>
      </c>
      <c r="O29" s="680">
        <f>1/3</f>
        <v>0.33333333333333331</v>
      </c>
      <c r="P29" s="681">
        <f>M29*N29</f>
        <v>0.1111111111111111</v>
      </c>
      <c r="Q29" s="680">
        <f>M29*O29</f>
        <v>0.1111111111111111</v>
      </c>
      <c r="R29" s="679">
        <f>N29*O29</f>
        <v>0.1111111111111111</v>
      </c>
      <c r="S29" s="681">
        <f>M29^2*N29*O29</f>
        <v>1.2345679012345678E-2</v>
      </c>
      <c r="T29" s="680">
        <f>M29*N29^2*O29</f>
        <v>1.2345679012345678E-2</v>
      </c>
      <c r="U29" s="679">
        <f>M29*N29*O29^2</f>
        <v>1.2345679012345678E-2</v>
      </c>
      <c r="V29" s="678">
        <f>PRODUCT(M29:O29)^2</f>
        <v>1.3717421124828531E-3</v>
      </c>
    </row>
    <row r="30" spans="1:22" ht="18.75">
      <c r="A30" s="130" t="s">
        <v>10</v>
      </c>
      <c r="B30" s="567" t="s">
        <v>244</v>
      </c>
      <c r="C30" s="568"/>
      <c r="D30" s="568"/>
      <c r="E30" s="677"/>
      <c r="F30" s="677"/>
      <c r="G30" s="677"/>
      <c r="H30" s="677"/>
      <c r="I30" s="677"/>
      <c r="J30" s="677"/>
      <c r="K30" s="676"/>
      <c r="L30" s="130" t="s">
        <v>10</v>
      </c>
      <c r="M30" s="567" t="s">
        <v>244</v>
      </c>
      <c r="N30" s="568"/>
      <c r="O30" s="568"/>
      <c r="P30" s="675"/>
      <c r="Q30" s="675"/>
      <c r="R30" s="675"/>
      <c r="S30" s="675"/>
      <c r="T30" s="675"/>
      <c r="U30" s="675"/>
      <c r="V30" s="674"/>
    </row>
    <row r="31" spans="1:22">
      <c r="A31" s="669">
        <v>1</v>
      </c>
      <c r="B31" s="87">
        <f t="array" ref="B31:K40">MINVERSE(B20:K29)</f>
        <v>1</v>
      </c>
      <c r="C31" s="40">
        <v>0</v>
      </c>
      <c r="D31" s="41">
        <v>0</v>
      </c>
      <c r="E31" s="40">
        <v>0</v>
      </c>
      <c r="F31" s="40">
        <v>0</v>
      </c>
      <c r="G31" s="40">
        <v>0</v>
      </c>
      <c r="H31" s="39">
        <v>0</v>
      </c>
      <c r="I31" s="673">
        <v>0</v>
      </c>
      <c r="J31" s="672">
        <v>0</v>
      </c>
      <c r="K31" s="671">
        <v>0</v>
      </c>
      <c r="L31" s="669">
        <v>1</v>
      </c>
      <c r="M31" s="87">
        <f t="array" ref="M31:V40">MINVERSE(Z_SA)</f>
        <v>1</v>
      </c>
      <c r="N31" s="40">
        <v>0</v>
      </c>
      <c r="O31" s="41">
        <v>0</v>
      </c>
      <c r="P31" s="40">
        <v>0</v>
      </c>
      <c r="Q31" s="40">
        <v>0</v>
      </c>
      <c r="R31" s="40">
        <v>0</v>
      </c>
      <c r="S31" s="39">
        <v>0</v>
      </c>
      <c r="T31" s="673">
        <v>0</v>
      </c>
      <c r="U31" s="672">
        <v>0</v>
      </c>
      <c r="V31" s="671">
        <v>0</v>
      </c>
    </row>
    <row r="32" spans="1:22">
      <c r="A32" s="668">
        <v>2</v>
      </c>
      <c r="B32" s="89">
        <v>0</v>
      </c>
      <c r="C32" s="94">
        <v>1</v>
      </c>
      <c r="D32" s="475">
        <v>0</v>
      </c>
      <c r="E32" s="94">
        <v>0</v>
      </c>
      <c r="F32" s="94">
        <v>0</v>
      </c>
      <c r="G32" s="94">
        <v>0</v>
      </c>
      <c r="H32" s="448">
        <v>0</v>
      </c>
      <c r="I32" s="89">
        <v>0</v>
      </c>
      <c r="J32" s="94">
        <v>0</v>
      </c>
      <c r="K32" s="475">
        <v>0</v>
      </c>
      <c r="L32" s="668">
        <v>2</v>
      </c>
      <c r="M32" s="89">
        <v>0</v>
      </c>
      <c r="N32" s="94">
        <v>1</v>
      </c>
      <c r="O32" s="475">
        <v>0</v>
      </c>
      <c r="P32" s="94">
        <v>0</v>
      </c>
      <c r="Q32" s="94">
        <v>0</v>
      </c>
      <c r="R32" s="94">
        <v>0</v>
      </c>
      <c r="S32" s="448">
        <v>0</v>
      </c>
      <c r="T32" s="89">
        <v>0</v>
      </c>
      <c r="U32" s="94">
        <v>0</v>
      </c>
      <c r="V32" s="475">
        <v>0</v>
      </c>
    </row>
    <row r="33" spans="1:22">
      <c r="A33" s="667">
        <v>3</v>
      </c>
      <c r="B33" s="89">
        <v>0</v>
      </c>
      <c r="C33" s="94">
        <v>0</v>
      </c>
      <c r="D33" s="475">
        <v>1</v>
      </c>
      <c r="E33" s="96">
        <v>0</v>
      </c>
      <c r="F33" s="96">
        <v>0</v>
      </c>
      <c r="G33" s="96">
        <v>0</v>
      </c>
      <c r="H33" s="95">
        <v>0</v>
      </c>
      <c r="I33" s="75">
        <v>0</v>
      </c>
      <c r="J33" s="96">
        <v>0</v>
      </c>
      <c r="K33" s="97">
        <v>0</v>
      </c>
      <c r="L33" s="667">
        <v>3</v>
      </c>
      <c r="M33" s="89">
        <v>0</v>
      </c>
      <c r="N33" s="94">
        <v>0</v>
      </c>
      <c r="O33" s="475">
        <v>1</v>
      </c>
      <c r="P33" s="96">
        <v>0</v>
      </c>
      <c r="Q33" s="96">
        <v>0</v>
      </c>
      <c r="R33" s="96">
        <v>0</v>
      </c>
      <c r="S33" s="95">
        <v>0</v>
      </c>
      <c r="T33" s="75">
        <v>0</v>
      </c>
      <c r="U33" s="96">
        <v>0</v>
      </c>
      <c r="V33" s="97">
        <v>0</v>
      </c>
    </row>
    <row r="34" spans="1:22">
      <c r="A34" s="668">
        <v>112</v>
      </c>
      <c r="B34" s="87">
        <v>-4.5</v>
      </c>
      <c r="C34" s="40">
        <v>0</v>
      </c>
      <c r="D34" s="41">
        <v>0</v>
      </c>
      <c r="E34" s="94">
        <v>9</v>
      </c>
      <c r="F34" s="94">
        <v>0</v>
      </c>
      <c r="G34" s="94">
        <v>-4.5</v>
      </c>
      <c r="H34" s="448">
        <v>0</v>
      </c>
      <c r="I34" s="87">
        <v>0</v>
      </c>
      <c r="J34" s="40">
        <v>0</v>
      </c>
      <c r="K34" s="41">
        <v>0</v>
      </c>
      <c r="L34" s="668">
        <v>12</v>
      </c>
      <c r="M34" s="87">
        <v>-2</v>
      </c>
      <c r="N34" s="40">
        <v>-2</v>
      </c>
      <c r="O34" s="41">
        <v>0</v>
      </c>
      <c r="P34" s="94">
        <v>4</v>
      </c>
      <c r="Q34" s="94">
        <v>0</v>
      </c>
      <c r="R34" s="94">
        <v>0</v>
      </c>
      <c r="S34" s="448">
        <v>0</v>
      </c>
      <c r="T34" s="87">
        <v>0</v>
      </c>
      <c r="U34" s="40">
        <v>0</v>
      </c>
      <c r="V34" s="41">
        <v>0</v>
      </c>
    </row>
    <row r="35" spans="1:22">
      <c r="A35" s="668">
        <v>113</v>
      </c>
      <c r="B35" s="89">
        <v>-4.4999999999999991</v>
      </c>
      <c r="C35" s="94">
        <v>0</v>
      </c>
      <c r="D35" s="475">
        <v>-3.7470027081099028E-16</v>
      </c>
      <c r="E35" s="94">
        <v>0</v>
      </c>
      <c r="F35" s="94">
        <v>8.9999999999999982</v>
      </c>
      <c r="G35" s="94">
        <v>0</v>
      </c>
      <c r="H35" s="448">
        <v>0</v>
      </c>
      <c r="I35" s="89">
        <v>-4.4999999999999991</v>
      </c>
      <c r="J35" s="94">
        <v>0</v>
      </c>
      <c r="K35" s="475">
        <v>0</v>
      </c>
      <c r="L35" s="668">
        <v>13</v>
      </c>
      <c r="M35" s="89">
        <v>-2</v>
      </c>
      <c r="N35" s="94">
        <v>0</v>
      </c>
      <c r="O35" s="475">
        <v>-2</v>
      </c>
      <c r="P35" s="94">
        <v>0</v>
      </c>
      <c r="Q35" s="94">
        <v>4</v>
      </c>
      <c r="R35" s="94">
        <v>0</v>
      </c>
      <c r="S35" s="448">
        <v>0</v>
      </c>
      <c r="T35" s="89">
        <v>0</v>
      </c>
      <c r="U35" s="94">
        <v>0</v>
      </c>
      <c r="V35" s="475">
        <v>0</v>
      </c>
    </row>
    <row r="36" spans="1:22">
      <c r="A36" s="668">
        <v>122</v>
      </c>
      <c r="B36" s="89">
        <v>0</v>
      </c>
      <c r="C36" s="94">
        <v>-4.5</v>
      </c>
      <c r="D36" s="475">
        <v>0</v>
      </c>
      <c r="E36" s="94">
        <v>-4.5</v>
      </c>
      <c r="F36" s="94">
        <v>0</v>
      </c>
      <c r="G36" s="94">
        <v>9</v>
      </c>
      <c r="H36" s="448">
        <v>0</v>
      </c>
      <c r="I36" s="75">
        <v>0</v>
      </c>
      <c r="J36" s="96">
        <v>0</v>
      </c>
      <c r="K36" s="97">
        <v>0</v>
      </c>
      <c r="L36" s="668">
        <v>23</v>
      </c>
      <c r="M36" s="89">
        <v>0</v>
      </c>
      <c r="N36" s="94">
        <v>-2</v>
      </c>
      <c r="O36" s="475">
        <v>-2</v>
      </c>
      <c r="P36" s="94">
        <v>0</v>
      </c>
      <c r="Q36" s="94">
        <v>0</v>
      </c>
      <c r="R36" s="94">
        <v>4</v>
      </c>
      <c r="S36" s="448">
        <v>0</v>
      </c>
      <c r="T36" s="75">
        <v>0</v>
      </c>
      <c r="U36" s="96">
        <v>0</v>
      </c>
      <c r="V36" s="97">
        <v>0</v>
      </c>
    </row>
    <row r="37" spans="1:22">
      <c r="A37" s="670">
        <v>123</v>
      </c>
      <c r="B37" s="137">
        <v>0</v>
      </c>
      <c r="C37" s="473">
        <v>-7.4940054162198057E-16</v>
      </c>
      <c r="D37" s="474">
        <v>-7.4940054162198057E-16</v>
      </c>
      <c r="E37" s="473">
        <v>-4.5</v>
      </c>
      <c r="F37" s="473">
        <v>-4.4999999999999982</v>
      </c>
      <c r="G37" s="473">
        <v>-4.4999999999999991</v>
      </c>
      <c r="H37" s="452">
        <v>26.999999999999996</v>
      </c>
      <c r="I37" s="473">
        <v>-4.5000000000000018</v>
      </c>
      <c r="J37" s="473">
        <v>-4.4999999999999973</v>
      </c>
      <c r="K37" s="474">
        <v>-4.5000000000000018</v>
      </c>
      <c r="L37" s="669">
        <v>1123</v>
      </c>
      <c r="M37" s="87">
        <v>-27.000000000000004</v>
      </c>
      <c r="N37" s="40">
        <v>8.9999999999999947</v>
      </c>
      <c r="O37" s="41">
        <v>9</v>
      </c>
      <c r="P37" s="40">
        <v>-36</v>
      </c>
      <c r="Q37" s="40">
        <v>-36</v>
      </c>
      <c r="R37" s="40">
        <v>-1.124100812432971E-15</v>
      </c>
      <c r="S37" s="39">
        <v>108.00000000000001</v>
      </c>
      <c r="T37" s="40">
        <v>8.992806499463768E-15</v>
      </c>
      <c r="U37" s="40">
        <v>4.496403249731884E-15</v>
      </c>
      <c r="V37" s="41">
        <v>-27</v>
      </c>
    </row>
    <row r="38" spans="1:22">
      <c r="A38" s="668">
        <v>133</v>
      </c>
      <c r="B38" s="87">
        <v>0</v>
      </c>
      <c r="C38" s="40">
        <v>0</v>
      </c>
      <c r="D38" s="41">
        <v>-4.4999999999999991</v>
      </c>
      <c r="E38" s="40">
        <v>0</v>
      </c>
      <c r="F38" s="40">
        <v>-4.4999999999999991</v>
      </c>
      <c r="G38" s="40">
        <v>0</v>
      </c>
      <c r="H38" s="39">
        <v>0</v>
      </c>
      <c r="I38" s="40">
        <v>8.9999999999999982</v>
      </c>
      <c r="J38" s="40">
        <v>0</v>
      </c>
      <c r="K38" s="41">
        <v>0</v>
      </c>
      <c r="L38" s="668">
        <v>1223</v>
      </c>
      <c r="M38" s="89">
        <v>9</v>
      </c>
      <c r="N38" s="94">
        <v>-27</v>
      </c>
      <c r="O38" s="475">
        <v>8.9999999999999964</v>
      </c>
      <c r="P38" s="94">
        <v>-36</v>
      </c>
      <c r="Q38" s="94">
        <v>-1.1990408665951691E-15</v>
      </c>
      <c r="R38" s="94">
        <v>-36</v>
      </c>
      <c r="S38" s="448">
        <v>4.7961634663806766E-15</v>
      </c>
      <c r="T38" s="94">
        <v>108</v>
      </c>
      <c r="U38" s="94">
        <v>4.7961634663806766E-15</v>
      </c>
      <c r="V38" s="475">
        <v>-27</v>
      </c>
    </row>
    <row r="39" spans="1:22">
      <c r="A39" s="668">
        <v>223</v>
      </c>
      <c r="B39" s="89">
        <v>0</v>
      </c>
      <c r="C39" s="94">
        <v>-4.4999999999999991</v>
      </c>
      <c r="D39" s="475">
        <v>-3.7470027081099028E-16</v>
      </c>
      <c r="E39" s="94">
        <v>0</v>
      </c>
      <c r="F39" s="94">
        <v>0</v>
      </c>
      <c r="G39" s="94">
        <v>0</v>
      </c>
      <c r="H39" s="448">
        <v>0</v>
      </c>
      <c r="I39" s="94">
        <v>0</v>
      </c>
      <c r="J39" s="94">
        <v>8.9999999999999982</v>
      </c>
      <c r="K39" s="475">
        <v>-4.4999999999999991</v>
      </c>
      <c r="L39" s="667">
        <v>1233</v>
      </c>
      <c r="M39" s="75">
        <v>9.0000000000000018</v>
      </c>
      <c r="N39" s="96">
        <v>9</v>
      </c>
      <c r="O39" s="97">
        <v>-27.000000000000004</v>
      </c>
      <c r="P39" s="96">
        <v>0</v>
      </c>
      <c r="Q39" s="96">
        <v>-36.000000000000007</v>
      </c>
      <c r="R39" s="96">
        <v>-36.000000000000007</v>
      </c>
      <c r="S39" s="95">
        <v>2.4980018054066026E-15</v>
      </c>
      <c r="T39" s="96">
        <v>2.4980018054066026E-15</v>
      </c>
      <c r="U39" s="96">
        <v>108.00000000000001</v>
      </c>
      <c r="V39" s="97">
        <v>-27.000000000000004</v>
      </c>
    </row>
    <row r="40" spans="1:22" ht="18.75">
      <c r="A40" s="667">
        <v>233</v>
      </c>
      <c r="B40" s="75">
        <v>0</v>
      </c>
      <c r="C40" s="96">
        <v>0</v>
      </c>
      <c r="D40" s="97">
        <v>-4.4999999999999991</v>
      </c>
      <c r="E40" s="96">
        <v>0</v>
      </c>
      <c r="F40" s="96">
        <v>0</v>
      </c>
      <c r="G40" s="96">
        <v>0</v>
      </c>
      <c r="H40" s="95">
        <v>0</v>
      </c>
      <c r="I40" s="96">
        <v>0</v>
      </c>
      <c r="J40" s="96">
        <v>-4.4999999999999991</v>
      </c>
      <c r="K40" s="97">
        <v>8.9999999999999982</v>
      </c>
      <c r="L40" s="667" t="s">
        <v>243</v>
      </c>
      <c r="M40" s="75">
        <v>162</v>
      </c>
      <c r="N40" s="96">
        <v>162.00000000000006</v>
      </c>
      <c r="O40" s="97">
        <v>162.00000000000006</v>
      </c>
      <c r="P40" s="96">
        <v>324.00000000000006</v>
      </c>
      <c r="Q40" s="96">
        <v>324.00000000000011</v>
      </c>
      <c r="R40" s="96">
        <v>324.00000000000011</v>
      </c>
      <c r="S40" s="95">
        <v>-972.00000000000034</v>
      </c>
      <c r="T40" s="96">
        <v>-972.00000000000034</v>
      </c>
      <c r="U40" s="96">
        <v>-972.00000000000034</v>
      </c>
      <c r="V40" s="97">
        <v>1458.0000000000002</v>
      </c>
    </row>
  </sheetData>
  <mergeCells count="6">
    <mergeCell ref="M18:V18"/>
    <mergeCell ref="M30:V30"/>
    <mergeCell ref="I1:O1"/>
    <mergeCell ref="I10:O10"/>
    <mergeCell ref="B18:K18"/>
    <mergeCell ref="B30:K30"/>
  </mergeCells>
  <conditionalFormatting sqref="B20:K29">
    <cfRule type="cellIs" dxfId="9" priority="2" operator="between">
      <formula>-0.0001</formula>
      <formula>0.0001</formula>
    </cfRule>
  </conditionalFormatting>
  <conditionalFormatting sqref="B31:K40">
    <cfRule type="cellIs" dxfId="8" priority="4" operator="between">
      <formula>-0.0001</formula>
      <formula>0.0001</formula>
    </cfRule>
  </conditionalFormatting>
  <conditionalFormatting sqref="I3:O9">
    <cfRule type="cellIs" dxfId="7" priority="3" operator="between">
      <formula>-0.0001</formula>
      <formula>0.0001</formula>
    </cfRule>
  </conditionalFormatting>
  <conditionalFormatting sqref="I11:O17 P20:V29">
    <cfRule type="cellIs" dxfId="6" priority="5" operator="between">
      <formula>-0.0001</formula>
      <formula>0.0001</formula>
    </cfRule>
  </conditionalFormatting>
  <conditionalFormatting sqref="M31:V40">
    <cfRule type="cellIs" dxfId="5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E941-B1BF-48A9-9E38-59B2B5049B1E}">
  <dimension ref="A1:N14"/>
  <sheetViews>
    <sheetView zoomScale="151" zoomScaleNormal="150" workbookViewId="0">
      <selection activeCell="B16" sqref="B16"/>
    </sheetView>
  </sheetViews>
  <sheetFormatPr defaultColWidth="9.5" defaultRowHeight="15" customHeight="1"/>
  <cols>
    <col min="1" max="255" width="6" style="527" customWidth="1"/>
    <col min="256" max="16384" width="9.5" style="527"/>
  </cols>
  <sheetData>
    <row r="1" spans="1:14" ht="15" customHeight="1">
      <c r="A1" s="555" t="s">
        <v>242</v>
      </c>
      <c r="B1" s="556"/>
      <c r="C1" s="552" t="s">
        <v>241</v>
      </c>
      <c r="D1" s="553"/>
      <c r="E1" s="553"/>
      <c r="F1" s="554"/>
      <c r="G1" s="555" t="s">
        <v>240</v>
      </c>
      <c r="H1" s="556"/>
      <c r="I1" s="552" t="s">
        <v>239</v>
      </c>
      <c r="J1" s="553"/>
      <c r="K1" s="553"/>
      <c r="L1" s="554"/>
    </row>
    <row r="2" spans="1:14" ht="15" customHeight="1">
      <c r="A2" s="538" t="s">
        <v>237</v>
      </c>
      <c r="B2" s="538" t="s">
        <v>238</v>
      </c>
      <c r="C2" s="551" t="s">
        <v>235</v>
      </c>
      <c r="D2" s="551" t="s">
        <v>234</v>
      </c>
      <c r="E2" s="551" t="s">
        <v>233</v>
      </c>
      <c r="F2" s="550" t="s">
        <v>232</v>
      </c>
      <c r="G2" s="538" t="s">
        <v>237</v>
      </c>
      <c r="H2" s="538" t="s">
        <v>236</v>
      </c>
      <c r="I2" s="551" t="s">
        <v>235</v>
      </c>
      <c r="J2" s="551" t="s">
        <v>234</v>
      </c>
      <c r="K2" s="551" t="s">
        <v>233</v>
      </c>
      <c r="L2" s="550" t="s">
        <v>232</v>
      </c>
    </row>
    <row r="3" spans="1:14" ht="15" customHeight="1">
      <c r="A3" s="548" t="s">
        <v>231</v>
      </c>
      <c r="B3" s="549">
        <v>9.8000000000000004E-2</v>
      </c>
      <c r="C3" s="545">
        <v>1</v>
      </c>
      <c r="D3" s="545">
        <v>0</v>
      </c>
      <c r="E3" s="545">
        <v>0</v>
      </c>
      <c r="F3" s="544">
        <v>0</v>
      </c>
      <c r="G3" s="548" t="s">
        <v>231</v>
      </c>
      <c r="H3" s="547">
        <f t="array" ref="H3:H6">MMULT(TRANSPOSE(MMULT(F_s,MINVERSE(F_t))),q_s)</f>
        <v>9.8000000000000004E-2</v>
      </c>
      <c r="I3" s="546">
        <v>1</v>
      </c>
      <c r="J3" s="545">
        <v>0</v>
      </c>
      <c r="K3" s="545">
        <v>0</v>
      </c>
      <c r="L3" s="544">
        <v>0</v>
      </c>
    </row>
    <row r="4" spans="1:14" ht="15" customHeight="1">
      <c r="A4" s="536" t="s">
        <v>225</v>
      </c>
      <c r="B4" s="530">
        <v>0.85199999999999998</v>
      </c>
      <c r="C4" s="527">
        <v>0</v>
      </c>
      <c r="D4" s="527">
        <v>4</v>
      </c>
      <c r="E4" s="527">
        <v>0</v>
      </c>
      <c r="F4" s="529">
        <v>0</v>
      </c>
      <c r="G4" s="536" t="s">
        <v>225</v>
      </c>
      <c r="H4" s="543">
        <v>0.86399999999999988</v>
      </c>
      <c r="I4" s="542">
        <v>0</v>
      </c>
      <c r="J4" s="527">
        <v>4</v>
      </c>
      <c r="K4" s="527">
        <v>0</v>
      </c>
      <c r="L4" s="529">
        <v>0</v>
      </c>
    </row>
    <row r="5" spans="1:14" ht="15" customHeight="1">
      <c r="A5" s="536" t="s">
        <v>230</v>
      </c>
      <c r="B5" s="530">
        <v>2.3E-2</v>
      </c>
      <c r="C5" s="527">
        <v>0</v>
      </c>
      <c r="D5" s="527">
        <v>4</v>
      </c>
      <c r="E5" s="527">
        <v>0</v>
      </c>
      <c r="F5" s="529">
        <v>1</v>
      </c>
      <c r="G5" s="536" t="s">
        <v>228</v>
      </c>
      <c r="H5" s="543">
        <v>3.4000000000000002E-2</v>
      </c>
      <c r="I5" s="542">
        <v>0</v>
      </c>
      <c r="J5" s="527">
        <v>6</v>
      </c>
      <c r="K5" s="527">
        <v>1</v>
      </c>
      <c r="L5" s="529">
        <v>1</v>
      </c>
    </row>
    <row r="6" spans="1:14" ht="15" customHeight="1">
      <c r="A6" s="536" t="s">
        <v>229</v>
      </c>
      <c r="B6" s="530">
        <v>5.0000000000000001E-3</v>
      </c>
      <c r="C6" s="527">
        <v>0</v>
      </c>
      <c r="D6" s="527">
        <v>6</v>
      </c>
      <c r="E6" s="527">
        <v>1</v>
      </c>
      <c r="F6" s="529">
        <v>0</v>
      </c>
      <c r="G6" s="541" t="s">
        <v>223</v>
      </c>
      <c r="H6" s="540">
        <v>4.000000000000001E-3</v>
      </c>
      <c r="I6" s="539">
        <v>0</v>
      </c>
      <c r="J6" s="534">
        <v>8</v>
      </c>
      <c r="K6" s="534">
        <v>2</v>
      </c>
      <c r="L6" s="533">
        <v>0</v>
      </c>
    </row>
    <row r="7" spans="1:14" ht="15" customHeight="1">
      <c r="A7" s="536" t="s">
        <v>228</v>
      </c>
      <c r="B7" s="530">
        <v>1.1000000000000001E-2</v>
      </c>
      <c r="C7" s="527">
        <v>0</v>
      </c>
      <c r="D7" s="527">
        <v>6</v>
      </c>
      <c r="E7" s="527">
        <v>1</v>
      </c>
      <c r="F7" s="529">
        <v>1</v>
      </c>
      <c r="G7" s="538" t="s">
        <v>226</v>
      </c>
      <c r="H7" s="537">
        <f>SUM(H3:H6)</f>
        <v>0.99999999999999989</v>
      </c>
    </row>
    <row r="8" spans="1:14" ht="15" customHeight="1">
      <c r="A8" s="536" t="s">
        <v>223</v>
      </c>
      <c r="B8" s="530">
        <v>8.0000000000000002E-3</v>
      </c>
      <c r="C8" s="527">
        <v>0</v>
      </c>
      <c r="D8" s="527">
        <v>8</v>
      </c>
      <c r="E8" s="527">
        <v>2</v>
      </c>
      <c r="F8" s="529">
        <v>0</v>
      </c>
    </row>
    <row r="9" spans="1:14" ht="15" customHeight="1">
      <c r="A9" s="536" t="s">
        <v>224</v>
      </c>
      <c r="B9" s="530">
        <v>2E-3</v>
      </c>
      <c r="C9" s="527">
        <v>0</v>
      </c>
      <c r="D9" s="527">
        <v>10</v>
      </c>
      <c r="E9" s="527">
        <v>3</v>
      </c>
      <c r="F9" s="529">
        <v>0</v>
      </c>
    </row>
    <row r="10" spans="1:14" ht="15" customHeight="1">
      <c r="A10" s="536" t="s">
        <v>227</v>
      </c>
      <c r="B10" s="535">
        <v>1E-3</v>
      </c>
      <c r="C10" s="534">
        <v>0</v>
      </c>
      <c r="D10" s="534">
        <v>12</v>
      </c>
      <c r="E10" s="534">
        <v>4</v>
      </c>
      <c r="F10" s="533">
        <v>0</v>
      </c>
    </row>
    <row r="11" spans="1:14" ht="15" customHeight="1">
      <c r="A11" s="532" t="s">
        <v>226</v>
      </c>
      <c r="B11" s="531">
        <v>1</v>
      </c>
    </row>
    <row r="13" spans="1:14" ht="15" customHeight="1">
      <c r="A13" s="528"/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</row>
    <row r="14" spans="1:14" ht="15" customHeight="1">
      <c r="A14" s="528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</row>
  </sheetData>
  <mergeCells count="4">
    <mergeCell ref="C1:F1"/>
    <mergeCell ref="I1:L1"/>
    <mergeCell ref="G1:H1"/>
    <mergeCell ref="A1:B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E897-20D4-4FEF-ADB9-EE269DF9E313}">
  <dimension ref="A1:AB49"/>
  <sheetViews>
    <sheetView showGridLines="0" zoomScaleNormal="100" workbookViewId="0">
      <selection activeCell="E27" sqref="E27"/>
    </sheetView>
  </sheetViews>
  <sheetFormatPr defaultColWidth="6.875" defaultRowHeight="15.75"/>
  <cols>
    <col min="1" max="1" width="3.875" style="94" customWidth="1"/>
    <col min="2" max="10" width="6.875" style="1"/>
    <col min="11" max="11" width="3.875" style="511" customWidth="1"/>
    <col min="12" max="12" width="6.875" style="36"/>
    <col min="13" max="13" width="10" style="1" bestFit="1" customWidth="1"/>
    <col min="14" max="14" width="6.875" style="1" customWidth="1"/>
    <col min="15" max="20" width="6.875" style="1"/>
    <col min="25" max="25" width="9.125" customWidth="1"/>
    <col min="29" max="16384" width="6.875" style="1"/>
  </cols>
  <sheetData>
    <row r="1" spans="1:20">
      <c r="A1" s="567" t="s">
        <v>222</v>
      </c>
      <c r="B1" s="568"/>
      <c r="C1" s="568"/>
      <c r="D1" s="568"/>
      <c r="E1" s="570"/>
      <c r="F1" s="567" t="s">
        <v>119</v>
      </c>
      <c r="G1" s="568"/>
      <c r="H1" s="568"/>
      <c r="I1" s="568"/>
      <c r="J1" s="570"/>
      <c r="K1" s="563" t="s">
        <v>221</v>
      </c>
      <c r="L1" s="564"/>
      <c r="M1" s="567" t="s">
        <v>220</v>
      </c>
      <c r="N1" s="568"/>
      <c r="O1" s="568"/>
      <c r="P1" s="568"/>
      <c r="Q1" s="568"/>
      <c r="R1" s="569"/>
      <c r="S1" s="526"/>
      <c r="T1" s="525"/>
    </row>
    <row r="2" spans="1:20" ht="17.25">
      <c r="A2" s="524">
        <v>0</v>
      </c>
      <c r="B2" s="464">
        <v>1</v>
      </c>
      <c r="C2" s="464">
        <v>2</v>
      </c>
      <c r="D2" s="464">
        <v>3</v>
      </c>
      <c r="E2" s="454">
        <v>4</v>
      </c>
      <c r="F2" s="454" t="s">
        <v>219</v>
      </c>
      <c r="G2" s="464" t="s">
        <v>218</v>
      </c>
      <c r="H2" s="464" t="s">
        <v>217</v>
      </c>
      <c r="I2" s="464" t="s">
        <v>216</v>
      </c>
      <c r="J2" s="454" t="s">
        <v>215</v>
      </c>
      <c r="K2" s="565"/>
      <c r="L2" s="566"/>
      <c r="M2" s="567" t="s">
        <v>214</v>
      </c>
      <c r="N2" s="568"/>
      <c r="O2" s="568"/>
      <c r="P2" s="568"/>
      <c r="Q2" s="568"/>
      <c r="R2" s="569"/>
      <c r="S2" s="559" t="s">
        <v>205</v>
      </c>
      <c r="T2" s="560"/>
    </row>
    <row r="3" spans="1:20">
      <c r="A3" s="39">
        <v>1</v>
      </c>
      <c r="B3" s="88">
        <f>-1</f>
        <v>-1</v>
      </c>
      <c r="C3" s="88">
        <f t="shared" ref="C3:C23" si="0">B3^2</f>
        <v>1</v>
      </c>
      <c r="D3" s="88">
        <f t="shared" ref="D3:D23" si="1">B3^3</f>
        <v>-1</v>
      </c>
      <c r="E3" s="80">
        <f t="shared" ref="E3:E23" si="2">B3^4</f>
        <v>1</v>
      </c>
      <c r="F3" s="37">
        <v>6.9000000000000006E-2</v>
      </c>
      <c r="G3" s="523">
        <f t="array" ref="G3:G23">MMULT(A3:B23,L6:L7)</f>
        <v>0.49476190476190463</v>
      </c>
      <c r="H3" s="522">
        <f t="array" ref="H3:H23">MMULT(A3:C23,L9:L11)</f>
        <v>-2.4057029926595308E-2</v>
      </c>
      <c r="I3" s="522">
        <f t="array" ref="I3:I23">MMULT(A3:D23,L13:L16)</f>
        <v>3.0874458874458999E-2</v>
      </c>
      <c r="J3" s="124">
        <f t="array" ref="J3:J23">MMULT(A3:E23,L18:L22)</f>
        <v>0.13136006022962882</v>
      </c>
      <c r="K3" s="561" t="s">
        <v>213</v>
      </c>
      <c r="L3" s="562"/>
      <c r="M3" s="454" t="s">
        <v>47</v>
      </c>
      <c r="N3" s="71" t="s">
        <v>30</v>
      </c>
      <c r="O3" s="71" t="s">
        <v>31</v>
      </c>
      <c r="P3" s="71" t="s">
        <v>32</v>
      </c>
      <c r="Q3" s="516" t="s">
        <v>3</v>
      </c>
      <c r="R3" s="73" t="s">
        <v>33</v>
      </c>
      <c r="S3" s="557" t="s">
        <v>204</v>
      </c>
      <c r="T3" s="558"/>
    </row>
    <row r="4" spans="1:20" ht="20.25">
      <c r="A4" s="448">
        <v>1</v>
      </c>
      <c r="B4" s="1">
        <f t="shared" ref="B4:B12" si="3">B3+0.1</f>
        <v>-0.9</v>
      </c>
      <c r="C4" s="1">
        <f t="shared" si="0"/>
        <v>0.81</v>
      </c>
      <c r="D4" s="1">
        <f t="shared" si="1"/>
        <v>-0.72900000000000009</v>
      </c>
      <c r="E4" s="90">
        <f t="shared" si="2"/>
        <v>0.65610000000000013</v>
      </c>
      <c r="F4" s="37">
        <v>0.23699999999999999</v>
      </c>
      <c r="G4" s="514">
        <v>0.47217619047619031</v>
      </c>
      <c r="H4" s="36">
        <v>0.1090029361942404</v>
      </c>
      <c r="I4" s="36">
        <v>0.13097553171466225</v>
      </c>
      <c r="J4" s="37">
        <v>0.13097553171466592</v>
      </c>
      <c r="K4" s="519">
        <v>0</v>
      </c>
      <c r="L4" s="521">
        <f>AVERAGE(F3:F23)</f>
        <v>0.26890476190476198</v>
      </c>
      <c r="M4" s="491" t="s">
        <v>5</v>
      </c>
      <c r="N4" s="81">
        <f>SUMSQ(G3:G23)-21*L4^2</f>
        <v>0.39278815714285531</v>
      </c>
      <c r="O4" s="88">
        <f>2-1</f>
        <v>1</v>
      </c>
      <c r="P4" s="88">
        <f>N4/O4</f>
        <v>0.39278815714285531</v>
      </c>
      <c r="Q4" s="88">
        <f>P4/P5</f>
        <v>3.9492999713002197</v>
      </c>
      <c r="R4" s="80">
        <f>FDIST(Q4,O4,O5)</f>
        <v>6.1500413125637483E-2</v>
      </c>
      <c r="S4" s="129" t="s">
        <v>203</v>
      </c>
      <c r="T4" s="41">
        <f t="array" ref="T4">1-[1]!PRESS(B3:B23,F3:F23)/N6</f>
        <v>-3.800308842971778E-2</v>
      </c>
    </row>
    <row r="5" spans="1:20" ht="20.25">
      <c r="A5" s="448">
        <v>1</v>
      </c>
      <c r="B5" s="1">
        <f t="shared" si="3"/>
        <v>-0.8</v>
      </c>
      <c r="C5" s="1">
        <f t="shared" si="0"/>
        <v>0.64000000000000012</v>
      </c>
      <c r="D5" s="1">
        <f t="shared" si="1"/>
        <v>-0.51200000000000012</v>
      </c>
      <c r="E5" s="90">
        <f t="shared" si="2"/>
        <v>0.40960000000000019</v>
      </c>
      <c r="F5" s="37">
        <v>0.17599999999999999</v>
      </c>
      <c r="G5" s="514">
        <v>0.4495904761904761</v>
      </c>
      <c r="H5" s="36">
        <v>0.22567914648280762</v>
      </c>
      <c r="I5" s="36">
        <v>0.22336624169118463</v>
      </c>
      <c r="J5" s="37">
        <v>0.1704790830832055</v>
      </c>
      <c r="K5" s="561" t="s">
        <v>212</v>
      </c>
      <c r="L5" s="562"/>
      <c r="M5" s="491" t="s">
        <v>6</v>
      </c>
      <c r="N5" s="455">
        <f>SUMSQ(F3:F23)-SUMSQ(G3:G23)</f>
        <v>1.8896956523809538</v>
      </c>
      <c r="O5" s="1">
        <f>21-2</f>
        <v>19</v>
      </c>
      <c r="P5" s="1">
        <f>N5/O5</f>
        <v>9.9457665914787038E-2</v>
      </c>
      <c r="Q5" s="129" t="s">
        <v>46</v>
      </c>
      <c r="R5" s="80">
        <f>N4/N6</f>
        <v>0.17208803650826426</v>
      </c>
      <c r="S5" s="491" t="s">
        <v>201</v>
      </c>
      <c r="T5" s="90">
        <f>1-P5/P6</f>
        <v>0.12851372264027816</v>
      </c>
    </row>
    <row r="6" spans="1:20">
      <c r="A6" s="448">
        <v>1</v>
      </c>
      <c r="B6" s="1">
        <f t="shared" si="3"/>
        <v>-0.70000000000000007</v>
      </c>
      <c r="C6" s="1">
        <f t="shared" si="0"/>
        <v>0.4900000000000001</v>
      </c>
      <c r="D6" s="1">
        <f t="shared" si="1"/>
        <v>-0.34300000000000008</v>
      </c>
      <c r="E6" s="90">
        <f t="shared" si="2"/>
        <v>0.24010000000000009</v>
      </c>
      <c r="F6" s="37">
        <v>0.23599999999999999</v>
      </c>
      <c r="G6" s="514">
        <v>0.42700476190476178</v>
      </c>
      <c r="H6" s="36">
        <v>0.32597160093910649</v>
      </c>
      <c r="I6" s="36">
        <v>0.30708287847418303</v>
      </c>
      <c r="J6" s="37">
        <v>0.23656666699687567</v>
      </c>
      <c r="K6" s="519">
        <v>0</v>
      </c>
      <c r="L6" s="517">
        <f t="array" ref="L6:L7">MMULT([1]!PseudoInv(A3:B23),F3:F23)</f>
        <v>0.26890476190476176</v>
      </c>
      <c r="M6" s="127" t="s">
        <v>7</v>
      </c>
      <c r="N6" s="106">
        <f>SUMSQ(F3:F23)-21*L4^2</f>
        <v>2.2824838095238089</v>
      </c>
      <c r="O6" s="76">
        <f>21-1</f>
        <v>20</v>
      </c>
      <c r="P6" s="76">
        <f>N6/O6</f>
        <v>0.11412419047619045</v>
      </c>
      <c r="Q6" s="75" t="s">
        <v>200</v>
      </c>
      <c r="R6" s="77">
        <f>SQRT(P5)</f>
        <v>0.31536909473628999</v>
      </c>
      <c r="S6" s="127" t="s">
        <v>199</v>
      </c>
      <c r="T6" s="77">
        <f>(O6+1)*LN(N5/21)+(O4+2)*LN(21)+21*LN((O4+1)*PI())+21</f>
        <v>18.158746013562762</v>
      </c>
    </row>
    <row r="7" spans="1:20">
      <c r="A7" s="448">
        <v>1</v>
      </c>
      <c r="B7" s="1">
        <f t="shared" si="3"/>
        <v>-0.60000000000000009</v>
      </c>
      <c r="C7" s="1">
        <f t="shared" si="0"/>
        <v>0.3600000000000001</v>
      </c>
      <c r="D7" s="1">
        <f t="shared" si="1"/>
        <v>-0.21600000000000008</v>
      </c>
      <c r="E7" s="90">
        <f t="shared" si="2"/>
        <v>0.12960000000000008</v>
      </c>
      <c r="F7" s="37">
        <v>0.21099999999999999</v>
      </c>
      <c r="G7" s="514">
        <v>0.40441904761904751</v>
      </c>
      <c r="H7" s="36">
        <v>0.40988029956313698</v>
      </c>
      <c r="I7" s="36">
        <v>0.3811617317338144</v>
      </c>
      <c r="J7" s="37">
        <v>0.31738604047124902</v>
      </c>
      <c r="K7" s="519">
        <v>1</v>
      </c>
      <c r="L7" s="35">
        <v>-0.22585714285714287</v>
      </c>
      <c r="M7" s="567" t="s">
        <v>211</v>
      </c>
      <c r="N7" s="568"/>
      <c r="O7" s="568"/>
      <c r="P7" s="568"/>
      <c r="Q7" s="568"/>
      <c r="R7" s="569"/>
      <c r="S7" s="559" t="s">
        <v>205</v>
      </c>
      <c r="T7" s="560"/>
    </row>
    <row r="8" spans="1:20">
      <c r="A8" s="448">
        <v>1</v>
      </c>
      <c r="B8" s="1">
        <f t="shared" si="3"/>
        <v>-0.50000000000000011</v>
      </c>
      <c r="C8" s="1">
        <f t="shared" si="0"/>
        <v>0.25000000000000011</v>
      </c>
      <c r="D8" s="1">
        <f t="shared" si="1"/>
        <v>-0.12500000000000008</v>
      </c>
      <c r="E8" s="90">
        <f t="shared" si="2"/>
        <v>6.2500000000000056E-2</v>
      </c>
      <c r="F8" s="37">
        <v>0.47699999999999998</v>
      </c>
      <c r="G8" s="514">
        <v>0.38183333333333325</v>
      </c>
      <c r="H8" s="36">
        <v>0.47740524235489895</v>
      </c>
      <c r="I8" s="36">
        <v>0.44463909114023559</v>
      </c>
      <c r="J8" s="37">
        <v>0.40253676487584222</v>
      </c>
      <c r="K8" s="561" t="s">
        <v>210</v>
      </c>
      <c r="L8" s="562"/>
      <c r="M8" s="454" t="s">
        <v>47</v>
      </c>
      <c r="N8" s="71" t="s">
        <v>30</v>
      </c>
      <c r="O8" s="71" t="s">
        <v>31</v>
      </c>
      <c r="P8" s="71" t="s">
        <v>32</v>
      </c>
      <c r="Q8" s="516" t="s">
        <v>3</v>
      </c>
      <c r="R8" s="73" t="s">
        <v>33</v>
      </c>
      <c r="S8" s="557" t="s">
        <v>204</v>
      </c>
      <c r="T8" s="558"/>
    </row>
    <row r="9" spans="1:20" ht="20.25">
      <c r="A9" s="448">
        <v>1</v>
      </c>
      <c r="B9" s="1">
        <f t="shared" si="3"/>
        <v>-0.40000000000000013</v>
      </c>
      <c r="C9" s="1">
        <f t="shared" si="0"/>
        <v>0.16000000000000011</v>
      </c>
      <c r="D9" s="1">
        <f t="shared" si="1"/>
        <v>-6.4000000000000071E-2</v>
      </c>
      <c r="E9" s="90">
        <f t="shared" si="2"/>
        <v>2.5600000000000036E-2</v>
      </c>
      <c r="F9" s="37">
        <v>0.53900000000000003</v>
      </c>
      <c r="G9" s="514">
        <v>0.35924761904761893</v>
      </c>
      <c r="H9" s="36">
        <v>0.52854642931439266</v>
      </c>
      <c r="I9" s="36">
        <v>0.49655124636360359</v>
      </c>
      <c r="J9" s="37">
        <v>0.4830702059341172</v>
      </c>
      <c r="K9" s="519">
        <v>0</v>
      </c>
      <c r="L9" s="517">
        <f t="array" ref="L9:L11">MMULT([1]!PseudoInv(A3:C23),F3:F23)</f>
        <v>0.56927361882968297</v>
      </c>
      <c r="M9" s="491" t="s">
        <v>5</v>
      </c>
      <c r="N9" s="81">
        <f>SUMSQ(H3:H23)-21*L4^2</f>
        <v>1.898174063653203</v>
      </c>
      <c r="O9" s="88">
        <f>3-1</f>
        <v>2</v>
      </c>
      <c r="P9" s="88">
        <f>N9/O9</f>
        <v>0.94908703182660148</v>
      </c>
      <c r="Q9" s="88">
        <f>P9/P10</f>
        <v>44.452597823607412</v>
      </c>
      <c r="R9" s="80">
        <f>FDIST(Q9,O9,O10)</f>
        <v>1.0875850572766116E-7</v>
      </c>
      <c r="S9" s="129" t="s">
        <v>203</v>
      </c>
      <c r="T9" s="80">
        <f t="array" ref="T9">1-[1]!PRESS(B3:C23,F3:F23)/N11</f>
        <v>0.78294507295053029</v>
      </c>
    </row>
    <row r="10" spans="1:20" ht="20.25">
      <c r="A10" s="448">
        <v>1</v>
      </c>
      <c r="B10" s="1">
        <f t="shared" si="3"/>
        <v>-0.30000000000000016</v>
      </c>
      <c r="C10" s="1">
        <f t="shared" si="0"/>
        <v>9.0000000000000094E-2</v>
      </c>
      <c r="D10" s="1">
        <f t="shared" si="1"/>
        <v>-2.7000000000000041E-2</v>
      </c>
      <c r="E10" s="90">
        <f t="shared" si="2"/>
        <v>8.1000000000000169E-3</v>
      </c>
      <c r="F10" s="37">
        <v>0.39300000000000002</v>
      </c>
      <c r="G10" s="514">
        <v>0.33666190476190466</v>
      </c>
      <c r="H10" s="36">
        <v>0.56330386044161784</v>
      </c>
      <c r="I10" s="36">
        <v>0.53593448707407565</v>
      </c>
      <c r="J10" s="37">
        <v>0.55148953372348009</v>
      </c>
      <c r="K10" s="519">
        <v>1</v>
      </c>
      <c r="L10" s="35">
        <v>-0.22585714285714259</v>
      </c>
      <c r="M10" s="491" t="s">
        <v>6</v>
      </c>
      <c r="N10" s="514">
        <f>SUMSQ(F3:F23)-SUMSQ(H3:H23)</f>
        <v>0.38430974587060618</v>
      </c>
      <c r="O10" s="1">
        <f>21-3</f>
        <v>18</v>
      </c>
      <c r="P10" s="1">
        <f>N10/O10</f>
        <v>2.1350541437255899E-2</v>
      </c>
      <c r="Q10" s="129" t="s">
        <v>202</v>
      </c>
      <c r="R10" s="80">
        <f>N9/N11</f>
        <v>0.83162651832751278</v>
      </c>
      <c r="S10" s="491" t="s">
        <v>201</v>
      </c>
      <c r="T10" s="90">
        <f>1-P10/P11</f>
        <v>0.81291835369723631</v>
      </c>
    </row>
    <row r="11" spans="1:20">
      <c r="A11" s="448">
        <v>1</v>
      </c>
      <c r="B11" s="1">
        <f t="shared" si="3"/>
        <v>-0.20000000000000015</v>
      </c>
      <c r="C11" s="1">
        <f t="shared" si="0"/>
        <v>4.0000000000000063E-2</v>
      </c>
      <c r="D11" s="1">
        <f t="shared" si="1"/>
        <v>-8.0000000000000192E-3</v>
      </c>
      <c r="E11" s="90">
        <f t="shared" si="2"/>
        <v>1.6000000000000051E-3</v>
      </c>
      <c r="F11" s="37">
        <v>0.53300000000000003</v>
      </c>
      <c r="G11" s="514">
        <v>0.31407619047619034</v>
      </c>
      <c r="H11" s="36">
        <v>0.58167753573657466</v>
      </c>
      <c r="I11" s="36">
        <v>0.56182510294180821</v>
      </c>
      <c r="J11" s="37">
        <v>0.60174972267528182</v>
      </c>
      <c r="K11" s="519">
        <v>2</v>
      </c>
      <c r="L11" s="64">
        <v>-0.81918779161342081</v>
      </c>
      <c r="M11" s="127" t="s">
        <v>7</v>
      </c>
      <c r="N11" s="106">
        <f>SUMSQ(F3:F23)-21*L4^2</f>
        <v>2.2824838095238089</v>
      </c>
      <c r="O11" s="76">
        <f>21-1</f>
        <v>20</v>
      </c>
      <c r="P11" s="76">
        <f>N11/O11</f>
        <v>0.11412419047619045</v>
      </c>
      <c r="Q11" s="75" t="s">
        <v>200</v>
      </c>
      <c r="R11" s="1">
        <f>SQRT(P10)</f>
        <v>0.14611824471042587</v>
      </c>
      <c r="S11" s="127" t="s">
        <v>199</v>
      </c>
      <c r="T11" s="77">
        <f>21*LN(N10/21)+(O9+2)*LN(21)+21*LN(2*PI())+21</f>
        <v>-12.243897901857522</v>
      </c>
    </row>
    <row r="12" spans="1:20">
      <c r="A12" s="448">
        <v>1</v>
      </c>
      <c r="B12" s="1">
        <f t="shared" si="3"/>
        <v>-0.10000000000000014</v>
      </c>
      <c r="C12" s="1">
        <f t="shared" si="0"/>
        <v>1.000000000000003E-2</v>
      </c>
      <c r="D12" s="1">
        <f t="shared" si="1"/>
        <v>-1.0000000000000044E-3</v>
      </c>
      <c r="E12" s="90">
        <f t="shared" si="2"/>
        <v>1.0000000000000059E-4</v>
      </c>
      <c r="F12" s="37">
        <v>0.75</v>
      </c>
      <c r="G12" s="514">
        <v>0.29149047619047608</v>
      </c>
      <c r="H12" s="36">
        <v>0.58366745519926311</v>
      </c>
      <c r="I12" s="36">
        <v>0.57325938363695839</v>
      </c>
      <c r="J12" s="37">
        <v>0.62925755157481778</v>
      </c>
      <c r="K12" s="561" t="s">
        <v>209</v>
      </c>
      <c r="L12" s="562"/>
      <c r="M12" s="567" t="s">
        <v>208</v>
      </c>
      <c r="N12" s="568"/>
      <c r="O12" s="568"/>
      <c r="P12" s="568"/>
      <c r="Q12" s="568"/>
      <c r="R12" s="569"/>
      <c r="S12" s="559" t="s">
        <v>205</v>
      </c>
      <c r="T12" s="560"/>
    </row>
    <row r="13" spans="1:20">
      <c r="A13" s="448">
        <v>1</v>
      </c>
      <c r="B13" s="1">
        <v>0</v>
      </c>
      <c r="C13" s="1">
        <f t="shared" si="0"/>
        <v>0</v>
      </c>
      <c r="D13" s="1">
        <f t="shared" si="1"/>
        <v>0</v>
      </c>
      <c r="E13" s="90">
        <f t="shared" si="2"/>
        <v>0</v>
      </c>
      <c r="F13" s="37">
        <v>0.67900000000000005</v>
      </c>
      <c r="G13" s="514">
        <v>0.26890476190476176</v>
      </c>
      <c r="H13" s="36">
        <v>0.56927361882968297</v>
      </c>
      <c r="I13" s="36">
        <v>0.56927361882968341</v>
      </c>
      <c r="J13" s="37">
        <v>0.63087160356132799</v>
      </c>
      <c r="K13" s="519">
        <v>0</v>
      </c>
      <c r="L13" s="517">
        <f t="array" ref="L13:L16">MMULT([1]!PseudoInv(A3:D23),F3:F23)</f>
        <v>0.56927361882968341</v>
      </c>
      <c r="M13" s="454" t="s">
        <v>47</v>
      </c>
      <c r="N13" s="71" t="s">
        <v>30</v>
      </c>
      <c r="O13" s="71" t="s">
        <v>31</v>
      </c>
      <c r="P13" s="71" t="s">
        <v>32</v>
      </c>
      <c r="Q13" s="516" t="s">
        <v>3</v>
      </c>
      <c r="R13" s="73" t="s">
        <v>33</v>
      </c>
      <c r="S13" s="557" t="s">
        <v>204</v>
      </c>
      <c r="T13" s="558"/>
    </row>
    <row r="14" spans="1:20" ht="20.25">
      <c r="A14" s="448">
        <v>1</v>
      </c>
      <c r="B14" s="1">
        <f t="shared" ref="B14:B23" si="4">B13+0.1</f>
        <v>0.1</v>
      </c>
      <c r="C14" s="1">
        <f t="shared" si="0"/>
        <v>1.0000000000000002E-2</v>
      </c>
      <c r="D14" s="1">
        <f t="shared" si="1"/>
        <v>1.0000000000000002E-3</v>
      </c>
      <c r="E14" s="90">
        <f t="shared" si="2"/>
        <v>1.0000000000000005E-4</v>
      </c>
      <c r="F14" s="37">
        <v>0.66500000000000004</v>
      </c>
      <c r="G14" s="514">
        <v>0.24631904761904747</v>
      </c>
      <c r="H14" s="36">
        <v>0.53849602662783458</v>
      </c>
      <c r="I14" s="36">
        <v>0.54890409819013997</v>
      </c>
      <c r="J14" s="37">
        <v>0.60490226612799713</v>
      </c>
      <c r="K14" s="519">
        <v>1</v>
      </c>
      <c r="L14" s="35">
        <v>-0.12017024335102128</v>
      </c>
      <c r="M14" s="491" t="s">
        <v>5</v>
      </c>
      <c r="N14" s="81">
        <f>SUMSQ(I3:I23)-21*L4^2</f>
        <v>1.9142460535660668</v>
      </c>
      <c r="O14" s="88">
        <f>4-1</f>
        <v>3</v>
      </c>
      <c r="P14" s="88">
        <f>N14/O14</f>
        <v>0.63808201785535557</v>
      </c>
      <c r="Q14" s="88">
        <f>P14/P15</f>
        <v>29.457583118624729</v>
      </c>
      <c r="R14" s="80">
        <f>FDIST(Q14,O14,O15)</f>
        <v>5.8527682269318394E-7</v>
      </c>
      <c r="S14" s="129" t="s">
        <v>203</v>
      </c>
      <c r="T14" s="80">
        <f t="array" ref="T14">1-[1]!PRESS(B3:D23,F3:F23)/N16</f>
        <v>0.76672855511480054</v>
      </c>
    </row>
    <row r="15" spans="1:20" ht="20.25">
      <c r="A15" s="448">
        <v>1</v>
      </c>
      <c r="B15" s="1">
        <f t="shared" si="4"/>
        <v>0.2</v>
      </c>
      <c r="C15" s="1">
        <f t="shared" si="0"/>
        <v>4.0000000000000008E-2</v>
      </c>
      <c r="D15" s="1">
        <f t="shared" si="1"/>
        <v>8.0000000000000019E-3</v>
      </c>
      <c r="E15" s="90">
        <f t="shared" si="2"/>
        <v>1.6000000000000007E-3</v>
      </c>
      <c r="F15" s="37">
        <v>0.68700000000000006</v>
      </c>
      <c r="G15" s="514">
        <v>0.22373333333333317</v>
      </c>
      <c r="H15" s="36">
        <v>0.4913346785937176</v>
      </c>
      <c r="I15" s="36">
        <v>0.51118711138848494</v>
      </c>
      <c r="J15" s="37">
        <v>0.55111173112195455</v>
      </c>
      <c r="K15" s="519">
        <v>2</v>
      </c>
      <c r="L15" s="35">
        <v>-0.81918779161342159</v>
      </c>
      <c r="M15" s="491" t="s">
        <v>6</v>
      </c>
      <c r="N15" s="455">
        <f>SUMSQ(F3:F23)-SUMSQ(I3:I23)</f>
        <v>0.36823775595774233</v>
      </c>
      <c r="O15" s="1">
        <f>21-4</f>
        <v>17</v>
      </c>
      <c r="P15" s="1">
        <f>N15/O15</f>
        <v>2.1661044468102492E-2</v>
      </c>
      <c r="Q15" s="129" t="s">
        <v>202</v>
      </c>
      <c r="R15" s="80">
        <f>N14/N16</f>
        <v>0.83866796582685643</v>
      </c>
      <c r="S15" s="491" t="s">
        <v>201</v>
      </c>
      <c r="T15" s="90">
        <f>1-P15/P16</f>
        <v>0.8101976068551251</v>
      </c>
    </row>
    <row r="16" spans="1:20">
      <c r="A16" s="448">
        <v>1</v>
      </c>
      <c r="B16" s="1">
        <f t="shared" si="4"/>
        <v>0.30000000000000004</v>
      </c>
      <c r="C16" s="1">
        <f t="shared" si="0"/>
        <v>9.0000000000000024E-2</v>
      </c>
      <c r="D16" s="1">
        <f t="shared" si="1"/>
        <v>2.700000000000001E-2</v>
      </c>
      <c r="E16" s="90">
        <f t="shared" si="2"/>
        <v>8.1000000000000048E-3</v>
      </c>
      <c r="F16" s="37">
        <v>0.30399999999999999</v>
      </c>
      <c r="G16" s="514">
        <v>0.20114761904761888</v>
      </c>
      <c r="H16" s="36">
        <v>0.42778957472733226</v>
      </c>
      <c r="I16" s="36">
        <v>0.45515894809487528</v>
      </c>
      <c r="J16" s="37">
        <v>0.47071399474427417</v>
      </c>
      <c r="K16" s="519">
        <v>3</v>
      </c>
      <c r="L16" s="64">
        <v>-0.16061838830717595</v>
      </c>
      <c r="M16" s="127" t="s">
        <v>7</v>
      </c>
      <c r="N16" s="106">
        <f>SUMSQ(F3:F23)-21*L4^2</f>
        <v>2.2824838095238089</v>
      </c>
      <c r="O16" s="76">
        <f>21-1</f>
        <v>20</v>
      </c>
      <c r="P16" s="76">
        <f>N16/O16</f>
        <v>0.11412419047619045</v>
      </c>
      <c r="Q16" s="75" t="s">
        <v>200</v>
      </c>
      <c r="R16" s="1">
        <f>SQRT(P15)</f>
        <v>0.14717691554079562</v>
      </c>
      <c r="S16" s="127" t="s">
        <v>199</v>
      </c>
      <c r="T16" s="520">
        <f>21*LN(N15/21)+(O14+2)*LN(21)+21*LN(2*PI())+21</f>
        <v>-10.096496551603039</v>
      </c>
    </row>
    <row r="17" spans="1:20">
      <c r="A17" s="448">
        <v>1</v>
      </c>
      <c r="B17" s="1">
        <f t="shared" si="4"/>
        <v>0.4</v>
      </c>
      <c r="C17" s="1">
        <f t="shared" si="0"/>
        <v>0.16000000000000003</v>
      </c>
      <c r="D17" s="1">
        <f t="shared" si="1"/>
        <v>6.4000000000000015E-2</v>
      </c>
      <c r="E17" s="90">
        <f t="shared" si="2"/>
        <v>2.5600000000000012E-2</v>
      </c>
      <c r="F17" s="37">
        <v>0.14000000000000001</v>
      </c>
      <c r="G17" s="514">
        <v>0.17856190476190459</v>
      </c>
      <c r="H17" s="36">
        <v>0.34786071502867855</v>
      </c>
      <c r="I17" s="36">
        <v>0.37985589797946817</v>
      </c>
      <c r="J17" s="37">
        <v>0.36637485754997423</v>
      </c>
      <c r="K17" s="561" t="s">
        <v>207</v>
      </c>
      <c r="L17" s="562"/>
      <c r="M17" s="567" t="s">
        <v>206</v>
      </c>
      <c r="N17" s="568"/>
      <c r="O17" s="568"/>
      <c r="P17" s="568"/>
      <c r="Q17" s="568"/>
      <c r="R17" s="569"/>
      <c r="S17" s="559" t="s">
        <v>205</v>
      </c>
      <c r="T17" s="560"/>
    </row>
    <row r="18" spans="1:20">
      <c r="A18" s="448">
        <v>1</v>
      </c>
      <c r="B18" s="1">
        <f t="shared" si="4"/>
        <v>0.5</v>
      </c>
      <c r="C18" s="1">
        <f t="shared" si="0"/>
        <v>0.25</v>
      </c>
      <c r="D18" s="1">
        <f t="shared" si="1"/>
        <v>0.125</v>
      </c>
      <c r="E18" s="90">
        <f t="shared" si="2"/>
        <v>6.25E-2</v>
      </c>
      <c r="F18" s="37">
        <v>0.50600000000000001</v>
      </c>
      <c r="G18" s="514">
        <v>0.15597619047619032</v>
      </c>
      <c r="H18" s="36">
        <v>0.25154809949775647</v>
      </c>
      <c r="I18" s="36">
        <v>0.28431425071242039</v>
      </c>
      <c r="J18" s="37">
        <v>0.24221192444801831</v>
      </c>
      <c r="K18" s="518">
        <v>0</v>
      </c>
      <c r="L18" s="517">
        <f t="array" ref="L18:L22">MMULT([1]!PseudoInv(A3:E23),F3:F23)</f>
        <v>0.63087160356132799</v>
      </c>
      <c r="M18" s="454" t="s">
        <v>47</v>
      </c>
      <c r="N18" s="71" t="s">
        <v>30</v>
      </c>
      <c r="O18" s="71" t="s">
        <v>31</v>
      </c>
      <c r="P18" s="71" t="s">
        <v>32</v>
      </c>
      <c r="Q18" s="516" t="s">
        <v>3</v>
      </c>
      <c r="R18" s="73" t="s">
        <v>33</v>
      </c>
      <c r="S18" s="557" t="s">
        <v>204</v>
      </c>
      <c r="T18" s="558"/>
    </row>
    <row r="19" spans="1:20" ht="20.25">
      <c r="A19" s="448">
        <v>1</v>
      </c>
      <c r="B19" s="1">
        <f t="shared" si="4"/>
        <v>0.6</v>
      </c>
      <c r="C19" s="1">
        <f t="shared" si="0"/>
        <v>0.36</v>
      </c>
      <c r="D19" s="1">
        <f t="shared" si="1"/>
        <v>0.216</v>
      </c>
      <c r="E19" s="90">
        <f t="shared" si="2"/>
        <v>0.12959999999999999</v>
      </c>
      <c r="F19" s="37">
        <v>-3.6999999999999998E-2</v>
      </c>
      <c r="G19" s="514">
        <v>0.13339047619047603</v>
      </c>
      <c r="H19" s="36">
        <v>0.13885172813456592</v>
      </c>
      <c r="I19" s="36">
        <v>0.16757029596388889</v>
      </c>
      <c r="J19" s="37">
        <v>0.10379460470131364</v>
      </c>
      <c r="K19" s="515">
        <v>1</v>
      </c>
      <c r="L19" s="35">
        <v>-0.12017024335103148</v>
      </c>
      <c r="M19" s="491" t="s">
        <v>5</v>
      </c>
      <c r="N19" s="81">
        <f>SUMSQ(J3:J23)-21*L4^2</f>
        <v>1.9757610780488852</v>
      </c>
      <c r="O19" s="88">
        <v>4</v>
      </c>
      <c r="P19" s="88">
        <f>N19/O19</f>
        <v>0.49394026951222131</v>
      </c>
      <c r="Q19" s="88">
        <f>P19/P20</f>
        <v>28.986846877851502</v>
      </c>
      <c r="R19" s="80">
        <f>FDIST(Q19,O19,O20)</f>
        <v>1.2562074071997411E-7</v>
      </c>
      <c r="S19" s="129" t="s">
        <v>203</v>
      </c>
      <c r="T19" s="80">
        <f t="array" ref="T19">1-[1]!PRESS(B3:E23,F3:F23)/N21</f>
        <v>0.78142022910308828</v>
      </c>
    </row>
    <row r="20" spans="1:20" ht="20.25">
      <c r="A20" s="448">
        <v>1</v>
      </c>
      <c r="B20" s="1">
        <f t="shared" si="4"/>
        <v>0.7</v>
      </c>
      <c r="C20" s="1">
        <f t="shared" si="0"/>
        <v>0.48999999999999994</v>
      </c>
      <c r="D20" s="1">
        <f t="shared" si="1"/>
        <v>0.34299999999999992</v>
      </c>
      <c r="E20" s="90">
        <f t="shared" si="2"/>
        <v>0.24009999999999992</v>
      </c>
      <c r="F20" s="37">
        <v>-8.6999999999999994E-2</v>
      </c>
      <c r="G20" s="514">
        <v>0.11080476190476177</v>
      </c>
      <c r="H20" s="36">
        <v>9.7716009391070058E-3</v>
      </c>
      <c r="I20" s="36">
        <v>2.8660323404030651E-2</v>
      </c>
      <c r="J20" s="37">
        <v>-4.1855888073287134E-2</v>
      </c>
      <c r="K20" s="515">
        <v>2</v>
      </c>
      <c r="L20" s="35">
        <v>-1.3852186558001538</v>
      </c>
      <c r="M20" s="491" t="s">
        <v>6</v>
      </c>
      <c r="N20" s="455">
        <f>SUMSQ(F3:F23)-SUMSQ(J3:J23)</f>
        <v>0.3067227314749239</v>
      </c>
      <c r="O20" s="1">
        <f>21-3</f>
        <v>18</v>
      </c>
      <c r="P20" s="1">
        <f>N20/O20</f>
        <v>1.7040151748606885E-2</v>
      </c>
      <c r="Q20" s="129" t="s">
        <v>202</v>
      </c>
      <c r="R20" s="80">
        <f>N19/N21</f>
        <v>0.8656188796629779</v>
      </c>
      <c r="S20" s="491" t="s">
        <v>201</v>
      </c>
      <c r="T20" s="90">
        <f>1-P20/P21</f>
        <v>0.85068764406997532</v>
      </c>
    </row>
    <row r="21" spans="1:20">
      <c r="A21" s="448">
        <v>1</v>
      </c>
      <c r="B21" s="1">
        <f t="shared" si="4"/>
        <v>0.79999999999999993</v>
      </c>
      <c r="C21" s="1">
        <f t="shared" si="0"/>
        <v>0.6399999999999999</v>
      </c>
      <c r="D21" s="1">
        <f t="shared" si="1"/>
        <v>0.5119999999999999</v>
      </c>
      <c r="E21" s="90">
        <f t="shared" si="2"/>
        <v>0.40959999999999985</v>
      </c>
      <c r="F21" s="37">
        <v>-1.4E-2</v>
      </c>
      <c r="G21" s="514">
        <v>8.8219047619047475E-2</v>
      </c>
      <c r="H21" s="36">
        <v>-0.13569228208862033</v>
      </c>
      <c r="I21" s="36">
        <v>-0.13337937729699736</v>
      </c>
      <c r="J21" s="37">
        <v>-0.18626653590498723</v>
      </c>
      <c r="K21" s="515">
        <v>3</v>
      </c>
      <c r="L21" s="35">
        <v>-0.1606183883071704</v>
      </c>
      <c r="M21" s="127" t="s">
        <v>7</v>
      </c>
      <c r="N21" s="106">
        <f>SUMSQ(F3:F23)-21*L4^2</f>
        <v>2.2824838095238089</v>
      </c>
      <c r="O21" s="76">
        <f>21-1</f>
        <v>20</v>
      </c>
      <c r="P21" s="76">
        <f>N21/O21</f>
        <v>0.11412419047619045</v>
      </c>
      <c r="Q21" s="75" t="s">
        <v>200</v>
      </c>
      <c r="R21" s="77">
        <f>SQRT(P20)</f>
        <v>0.13053793222127769</v>
      </c>
      <c r="S21" s="127" t="s">
        <v>199</v>
      </c>
      <c r="T21" s="77">
        <f>21*LN(N20/21)+(O19+2)*LN(21)+21*LN(2*PI())+21</f>
        <v>-10.890451151340471</v>
      </c>
    </row>
    <row r="22" spans="1:20">
      <c r="A22" s="448">
        <v>1</v>
      </c>
      <c r="B22" s="1">
        <f t="shared" si="4"/>
        <v>0.89999999999999991</v>
      </c>
      <c r="C22" s="1">
        <f t="shared" si="0"/>
        <v>0.80999999999999983</v>
      </c>
      <c r="D22" s="1">
        <f t="shared" si="1"/>
        <v>0.72899999999999976</v>
      </c>
      <c r="E22" s="90">
        <f t="shared" si="2"/>
        <v>0.65609999999999968</v>
      </c>
      <c r="F22" s="37">
        <v>-0.36599999999999999</v>
      </c>
      <c r="G22" s="514">
        <v>6.563333333333321E-2</v>
      </c>
      <c r="H22" s="36">
        <v>-0.29753992094861603</v>
      </c>
      <c r="I22" s="36">
        <v>-0.31951251646903828</v>
      </c>
      <c r="J22" s="37">
        <v>-0.31951251646904522</v>
      </c>
      <c r="K22" s="513">
        <v>4</v>
      </c>
      <c r="L22" s="64">
        <v>0.60491848081025279</v>
      </c>
      <c r="N22" s="511"/>
      <c r="O22" s="511"/>
      <c r="P22" s="511"/>
      <c r="Q22" s="511"/>
      <c r="R22" s="511"/>
      <c r="S22" s="511"/>
      <c r="T22" s="511"/>
    </row>
    <row r="23" spans="1:20">
      <c r="A23" s="95">
        <v>1</v>
      </c>
      <c r="B23" s="76">
        <f t="shared" si="4"/>
        <v>0.99999999999999989</v>
      </c>
      <c r="C23" s="76">
        <f t="shared" si="0"/>
        <v>0.99999999999999978</v>
      </c>
      <c r="D23" s="76">
        <f t="shared" si="1"/>
        <v>0.99999999999999967</v>
      </c>
      <c r="E23" s="77">
        <f t="shared" si="2"/>
        <v>0.99999999999999956</v>
      </c>
      <c r="F23" s="66">
        <v>-0.45100000000000001</v>
      </c>
      <c r="G23" s="512">
        <v>4.3047619047618918E-2</v>
      </c>
      <c r="H23" s="65">
        <v>-0.47577131564088015</v>
      </c>
      <c r="I23" s="65">
        <v>-0.53070280444193507</v>
      </c>
      <c r="J23" s="66">
        <v>-0.4302172030867748</v>
      </c>
      <c r="M23" s="511"/>
      <c r="N23" s="36"/>
    </row>
    <row r="24" spans="1:20">
      <c r="M24" s="94"/>
    </row>
    <row r="25" spans="1:20">
      <c r="A25"/>
      <c r="B25"/>
      <c r="C25"/>
      <c r="D25"/>
      <c r="E25"/>
      <c r="F25"/>
      <c r="G25"/>
      <c r="H25"/>
      <c r="I25"/>
    </row>
    <row r="26" spans="1:20">
      <c r="A26"/>
      <c r="B26"/>
      <c r="C26"/>
      <c r="D26"/>
      <c r="E26"/>
      <c r="F26"/>
      <c r="G26"/>
      <c r="H26"/>
      <c r="I26"/>
    </row>
    <row r="27" spans="1:20">
      <c r="A27"/>
      <c r="B27"/>
      <c r="C27"/>
      <c r="D27"/>
      <c r="E27"/>
      <c r="F27"/>
      <c r="G27"/>
      <c r="H27"/>
      <c r="I27"/>
    </row>
    <row r="28" spans="1:20">
      <c r="A28"/>
      <c r="B28"/>
      <c r="C28"/>
      <c r="D28"/>
      <c r="E28"/>
      <c r="F28"/>
      <c r="G28"/>
      <c r="H28"/>
      <c r="I28"/>
    </row>
    <row r="29" spans="1:20">
      <c r="A29"/>
      <c r="B29"/>
      <c r="C29"/>
      <c r="D29"/>
      <c r="E29"/>
      <c r="F29"/>
      <c r="G29"/>
      <c r="H29"/>
      <c r="I29"/>
    </row>
    <row r="30" spans="1:20">
      <c r="A30"/>
      <c r="B30"/>
      <c r="C30"/>
      <c r="D30"/>
      <c r="E30"/>
      <c r="F30"/>
      <c r="G30"/>
      <c r="H30"/>
      <c r="I30"/>
    </row>
    <row r="31" spans="1:20">
      <c r="A31"/>
      <c r="B31"/>
      <c r="C31"/>
      <c r="D31"/>
      <c r="E31"/>
      <c r="F31"/>
      <c r="G31"/>
      <c r="H31"/>
      <c r="I31"/>
    </row>
    <row r="32" spans="1:20">
      <c r="A32"/>
      <c r="B32"/>
      <c r="C32"/>
      <c r="D32"/>
      <c r="E32"/>
      <c r="F32"/>
      <c r="G32"/>
      <c r="H32"/>
      <c r="I32"/>
    </row>
    <row r="47" spans="3:3">
      <c r="C47" s="36"/>
    </row>
    <row r="48" spans="3:3">
      <c r="C48" s="36"/>
    </row>
    <row r="49" spans="3:3">
      <c r="C49" s="36"/>
    </row>
  </sheetData>
  <mergeCells count="21">
    <mergeCell ref="A1:E1"/>
    <mergeCell ref="F1:J1"/>
    <mergeCell ref="M1:R1"/>
    <mergeCell ref="M2:R2"/>
    <mergeCell ref="K8:L8"/>
    <mergeCell ref="K5:L5"/>
    <mergeCell ref="K3:L3"/>
    <mergeCell ref="K1:L2"/>
    <mergeCell ref="S2:T2"/>
    <mergeCell ref="S3:T3"/>
    <mergeCell ref="S7:T7"/>
    <mergeCell ref="S8:T8"/>
    <mergeCell ref="M7:R7"/>
    <mergeCell ref="S13:T13"/>
    <mergeCell ref="S17:T17"/>
    <mergeCell ref="S18:T18"/>
    <mergeCell ref="K17:L17"/>
    <mergeCell ref="K12:L12"/>
    <mergeCell ref="S12:T12"/>
    <mergeCell ref="M12:R12"/>
    <mergeCell ref="M17:R17"/>
  </mergeCells>
  <pageMargins left="0.7" right="0.7" top="0.75" bottom="0.75" header="0.3" footer="0.3"/>
  <pageSetup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D2EE-FBF3-4C52-942A-1AFD7BAD39A0}">
  <dimension ref="A1:U32"/>
  <sheetViews>
    <sheetView zoomScaleNormal="100" workbookViewId="0">
      <selection activeCell="P28" sqref="P28"/>
    </sheetView>
  </sheetViews>
  <sheetFormatPr defaultColWidth="6.875" defaultRowHeight="15.75"/>
  <cols>
    <col min="1" max="30" width="6.875" customWidth="1"/>
  </cols>
  <sheetData>
    <row r="1" spans="1:21" ht="19.5">
      <c r="A1" s="504"/>
      <c r="B1" s="504" t="s">
        <v>68</v>
      </c>
      <c r="C1" s="70" t="s">
        <v>66</v>
      </c>
      <c r="D1" s="69" t="s">
        <v>77</v>
      </c>
      <c r="E1" s="70" t="s">
        <v>16</v>
      </c>
      <c r="F1" s="70" t="s">
        <v>198</v>
      </c>
      <c r="G1" s="567" t="s">
        <v>14</v>
      </c>
      <c r="H1" s="575"/>
      <c r="I1" s="575"/>
      <c r="J1" s="575"/>
      <c r="K1" s="575"/>
      <c r="L1" s="576"/>
      <c r="M1" s="567" t="s">
        <v>197</v>
      </c>
      <c r="N1" s="577"/>
      <c r="O1" s="577"/>
      <c r="P1" s="577"/>
      <c r="Q1" s="578"/>
      <c r="R1" s="571" t="s">
        <v>196</v>
      </c>
      <c r="S1" s="130" t="s">
        <v>16</v>
      </c>
      <c r="T1" s="1"/>
      <c r="U1" s="1"/>
    </row>
    <row r="2" spans="1:21" ht="15" customHeight="1">
      <c r="A2" s="502" t="s">
        <v>10</v>
      </c>
      <c r="B2" s="502" t="s">
        <v>195</v>
      </c>
      <c r="C2" s="446" t="s">
        <v>19</v>
      </c>
      <c r="D2" s="91" t="s">
        <v>18</v>
      </c>
      <c r="E2" s="446" t="s">
        <v>18</v>
      </c>
      <c r="F2" s="458" t="s">
        <v>18</v>
      </c>
      <c r="G2" s="130">
        <v>0</v>
      </c>
      <c r="H2" s="71">
        <v>1</v>
      </c>
      <c r="I2" s="71">
        <v>2</v>
      </c>
      <c r="J2" s="130">
        <v>12</v>
      </c>
      <c r="K2" s="71">
        <v>11</v>
      </c>
      <c r="L2" s="70">
        <v>22</v>
      </c>
      <c r="M2" s="71">
        <v>1</v>
      </c>
      <c r="N2" s="71">
        <v>2</v>
      </c>
      <c r="O2" s="130">
        <v>12</v>
      </c>
      <c r="P2" s="71">
        <v>11</v>
      </c>
      <c r="Q2" s="70">
        <v>22</v>
      </c>
      <c r="R2" s="583"/>
      <c r="S2" s="67" t="s">
        <v>18</v>
      </c>
      <c r="T2" s="501"/>
      <c r="U2" s="501"/>
    </row>
    <row r="3" spans="1:21">
      <c r="A3" s="38">
        <v>1</v>
      </c>
      <c r="B3" s="112">
        <v>17.5</v>
      </c>
      <c r="C3" s="494">
        <v>3</v>
      </c>
      <c r="D3" s="497">
        <v>24</v>
      </c>
      <c r="E3" s="496">
        <f t="array" ref="E3:E14">MMULT(G3:L14,N27:N32)</f>
        <v>22.687642224126034</v>
      </c>
      <c r="F3" s="495">
        <f t="shared" ref="F3:F14" si="0">(D3-D$15)/D$16</f>
        <v>-0.83675473025575942</v>
      </c>
      <c r="G3" s="39">
        <v>1</v>
      </c>
      <c r="H3" s="40">
        <f t="shared" ref="H3:H14" si="1">(B3-23.5)/6</f>
        <v>-1</v>
      </c>
      <c r="I3" s="40">
        <f t="shared" ref="I3:I14" si="2">(C3-4)</f>
        <v>-1</v>
      </c>
      <c r="J3" s="39">
        <f t="shared" ref="J3:J14" si="3">I3*H3</f>
        <v>1</v>
      </c>
      <c r="K3" s="493">
        <f t="shared" ref="K3:K14" si="4">H3^2-0.667824074074074</f>
        <v>0.33217592592592604</v>
      </c>
      <c r="L3" s="494">
        <f t="shared" ref="L3:L14" si="5">I3^2-0.664683333333333</f>
        <v>0.33531666666666704</v>
      </c>
      <c r="M3" s="505">
        <f t="shared" ref="M3:M14" si="6">(H3-H$15)/H$16</f>
        <v>-1.2236831071075758</v>
      </c>
      <c r="N3" s="506">
        <f t="shared" ref="N3:N14" si="7">(I3-I$15)/I$16</f>
        <v>-1.2265707544007662</v>
      </c>
      <c r="O3" s="506">
        <f t="shared" ref="O3:O14" si="8">(J3-J$15)/J$16</f>
        <v>1.7320508075688774</v>
      </c>
      <c r="P3" s="506">
        <f t="shared" ref="P3:P14" si="9">(K3-K$15)/K$16</f>
        <v>0.44442529401804876</v>
      </c>
      <c r="Q3" s="41">
        <f t="shared" ref="Q3:Q14" si="10">(L3-L$15)/L$16</f>
        <v>0.45202325281357231</v>
      </c>
      <c r="R3" s="493">
        <f t="array" ref="R3:R14">MMULT(M3:Q14,O28:O32)</f>
        <v>-1.1171261966601334</v>
      </c>
      <c r="S3" s="492">
        <f t="shared" ref="S3:S14" si="11">R3*D$16+D$15</f>
        <v>22.687642224126037</v>
      </c>
      <c r="T3" s="1"/>
      <c r="U3" s="1"/>
    </row>
    <row r="4" spans="1:21">
      <c r="A4" s="34">
        <v>2</v>
      </c>
      <c r="B4" s="490">
        <v>17.5</v>
      </c>
      <c r="C4" s="486">
        <v>5</v>
      </c>
      <c r="D4" s="489">
        <v>22</v>
      </c>
      <c r="E4" s="488">
        <v>22.768294665138047</v>
      </c>
      <c r="F4" s="487">
        <f t="shared" si="0"/>
        <v>-1.2640337414501897</v>
      </c>
      <c r="G4" s="448">
        <v>1</v>
      </c>
      <c r="H4" s="94">
        <f t="shared" si="1"/>
        <v>-1</v>
      </c>
      <c r="I4" s="94">
        <f t="shared" si="2"/>
        <v>1</v>
      </c>
      <c r="J4" s="448">
        <f t="shared" si="3"/>
        <v>-1</v>
      </c>
      <c r="K4" s="485">
        <f t="shared" si="4"/>
        <v>0.33217592592592604</v>
      </c>
      <c r="L4" s="486">
        <f t="shared" si="5"/>
        <v>0.33531666666666704</v>
      </c>
      <c r="M4" s="507">
        <f t="shared" si="6"/>
        <v>-1.2236831071075758</v>
      </c>
      <c r="N4" s="508">
        <f t="shared" si="7"/>
        <v>1.2265707544007662</v>
      </c>
      <c r="O4" s="508">
        <f t="shared" si="8"/>
        <v>-1.7320508075688774</v>
      </c>
      <c r="P4" s="508">
        <f t="shared" si="9"/>
        <v>0.44442529401804876</v>
      </c>
      <c r="Q4" s="475">
        <f t="shared" si="10"/>
        <v>0.45202325281357231</v>
      </c>
      <c r="R4" s="485">
        <v>-1.0998956490371188</v>
      </c>
      <c r="S4" s="484">
        <f t="shared" si="11"/>
        <v>22.76829466513805</v>
      </c>
      <c r="T4" s="1"/>
      <c r="U4" s="1"/>
    </row>
    <row r="5" spans="1:21">
      <c r="A5" s="34">
        <v>3</v>
      </c>
      <c r="B5" s="490">
        <v>29.5</v>
      </c>
      <c r="C5" s="486">
        <v>3</v>
      </c>
      <c r="D5" s="489">
        <v>28</v>
      </c>
      <c r="E5" s="488">
        <v>28.234435984957923</v>
      </c>
      <c r="F5" s="487">
        <f t="shared" si="0"/>
        <v>1.7803292133101008E-2</v>
      </c>
      <c r="G5" s="448">
        <v>1</v>
      </c>
      <c r="H5" s="94">
        <f t="shared" si="1"/>
        <v>1</v>
      </c>
      <c r="I5" s="94">
        <f t="shared" si="2"/>
        <v>-1</v>
      </c>
      <c r="J5" s="448">
        <f t="shared" si="3"/>
        <v>-1</v>
      </c>
      <c r="K5" s="485">
        <f t="shared" si="4"/>
        <v>0.33217592592592604</v>
      </c>
      <c r="L5" s="486">
        <f t="shared" si="5"/>
        <v>0.33531666666666704</v>
      </c>
      <c r="M5" s="507">
        <f t="shared" si="6"/>
        <v>1.2236831071075758</v>
      </c>
      <c r="N5" s="508">
        <f t="shared" si="7"/>
        <v>-1.2265707544007662</v>
      </c>
      <c r="O5" s="508">
        <f t="shared" si="8"/>
        <v>-1.7320508075688774</v>
      </c>
      <c r="P5" s="508">
        <f t="shared" si="9"/>
        <v>0.44442529401804876</v>
      </c>
      <c r="Q5" s="475">
        <f t="shared" si="10"/>
        <v>0.45202325281357231</v>
      </c>
      <c r="R5" s="485">
        <v>6.7888080053708985E-2</v>
      </c>
      <c r="S5" s="484">
        <f t="shared" si="11"/>
        <v>28.23443598495793</v>
      </c>
      <c r="T5" s="1"/>
      <c r="U5" s="1"/>
    </row>
    <row r="6" spans="1:21">
      <c r="A6" s="63">
        <v>4</v>
      </c>
      <c r="B6" s="109">
        <v>29.5</v>
      </c>
      <c r="C6" s="480">
        <v>5</v>
      </c>
      <c r="D6" s="483">
        <v>33</v>
      </c>
      <c r="E6" s="482">
        <v>35.315088425969932</v>
      </c>
      <c r="F6" s="481">
        <f t="shared" si="0"/>
        <v>1.0860008201191766</v>
      </c>
      <c r="G6" s="95">
        <v>1</v>
      </c>
      <c r="H6" s="96">
        <f t="shared" si="1"/>
        <v>1</v>
      </c>
      <c r="I6" s="96">
        <f t="shared" si="2"/>
        <v>1</v>
      </c>
      <c r="J6" s="95">
        <f t="shared" si="3"/>
        <v>1</v>
      </c>
      <c r="K6" s="479">
        <f t="shared" si="4"/>
        <v>0.33217592592592604</v>
      </c>
      <c r="L6" s="480">
        <f t="shared" si="5"/>
        <v>0.33531666666666704</v>
      </c>
      <c r="M6" s="509">
        <f t="shared" si="6"/>
        <v>1.2236831071075758</v>
      </c>
      <c r="N6" s="510">
        <f t="shared" si="7"/>
        <v>1.2265707544007662</v>
      </c>
      <c r="O6" s="510">
        <f t="shared" si="8"/>
        <v>1.7320508075688774</v>
      </c>
      <c r="P6" s="510">
        <f t="shared" si="9"/>
        <v>0.44442529401804876</v>
      </c>
      <c r="Q6" s="97">
        <f t="shared" si="10"/>
        <v>0.45202325281357231</v>
      </c>
      <c r="R6" s="479">
        <v>1.5805951668572291</v>
      </c>
      <c r="S6" s="478">
        <f t="shared" si="11"/>
        <v>35.31508842596994</v>
      </c>
      <c r="T6" s="1"/>
      <c r="U6" s="1"/>
    </row>
    <row r="7" spans="1:21">
      <c r="A7" s="38">
        <v>5</v>
      </c>
      <c r="B7" s="112">
        <v>15</v>
      </c>
      <c r="C7" s="494">
        <v>4</v>
      </c>
      <c r="D7" s="497">
        <v>19</v>
      </c>
      <c r="E7" s="496">
        <v>19.592223922477103</v>
      </c>
      <c r="F7" s="495">
        <f t="shared" si="0"/>
        <v>-1.904952258241835</v>
      </c>
      <c r="G7" s="39">
        <v>1</v>
      </c>
      <c r="H7" s="493">
        <f t="shared" si="1"/>
        <v>-1.4166666666666667</v>
      </c>
      <c r="I7" s="40">
        <f t="shared" si="2"/>
        <v>0</v>
      </c>
      <c r="J7" s="39">
        <f t="shared" si="3"/>
        <v>0</v>
      </c>
      <c r="K7" s="493">
        <f t="shared" si="4"/>
        <v>1.3391203703703707</v>
      </c>
      <c r="L7" s="494">
        <f t="shared" si="5"/>
        <v>-0.66468333333333296</v>
      </c>
      <c r="M7" s="505">
        <f t="shared" si="6"/>
        <v>-1.7335510684023991</v>
      </c>
      <c r="N7" s="40">
        <f t="shared" si="7"/>
        <v>0</v>
      </c>
      <c r="O7" s="40">
        <f t="shared" si="8"/>
        <v>0</v>
      </c>
      <c r="P7" s="500">
        <f t="shared" si="9"/>
        <v>1.7916378577661405</v>
      </c>
      <c r="Q7" s="41">
        <f t="shared" si="10"/>
        <v>-0.89602561486445875</v>
      </c>
      <c r="R7" s="493">
        <v>-1.7784298322409815</v>
      </c>
      <c r="S7" s="492">
        <f t="shared" si="11"/>
        <v>19.59222392247711</v>
      </c>
      <c r="T7" s="1"/>
      <c r="U7" s="1"/>
    </row>
    <row r="8" spans="1:21">
      <c r="A8" s="34">
        <v>6</v>
      </c>
      <c r="B8" s="490">
        <v>32</v>
      </c>
      <c r="C8" s="486">
        <v>4</v>
      </c>
      <c r="D8" s="489">
        <v>34</v>
      </c>
      <c r="E8" s="488">
        <v>32.408515083655622</v>
      </c>
      <c r="F8" s="487">
        <f t="shared" si="0"/>
        <v>1.2996403257163918</v>
      </c>
      <c r="G8" s="448">
        <v>1</v>
      </c>
      <c r="H8" s="485">
        <f t="shared" si="1"/>
        <v>1.4166666666666667</v>
      </c>
      <c r="I8" s="94">
        <f t="shared" si="2"/>
        <v>0</v>
      </c>
      <c r="J8" s="448">
        <f t="shared" si="3"/>
        <v>0</v>
      </c>
      <c r="K8" s="485">
        <f t="shared" si="4"/>
        <v>1.3391203703703707</v>
      </c>
      <c r="L8" s="486">
        <f t="shared" si="5"/>
        <v>-0.66468333333333296</v>
      </c>
      <c r="M8" s="507">
        <f t="shared" si="6"/>
        <v>1.7335510684023991</v>
      </c>
      <c r="N8" s="94">
        <f t="shared" si="7"/>
        <v>0</v>
      </c>
      <c r="O8" s="94">
        <f t="shared" si="8"/>
        <v>0</v>
      </c>
      <c r="P8" s="499">
        <f t="shared" si="9"/>
        <v>1.7916378577661405</v>
      </c>
      <c r="Q8" s="475">
        <f t="shared" si="10"/>
        <v>-0.89602561486445875</v>
      </c>
      <c r="R8" s="485">
        <v>0.9596362750231533</v>
      </c>
      <c r="S8" s="484">
        <f t="shared" si="11"/>
        <v>32.408515083655622</v>
      </c>
      <c r="T8" s="1"/>
      <c r="U8" s="1"/>
    </row>
    <row r="9" spans="1:21">
      <c r="A9" s="34">
        <v>7</v>
      </c>
      <c r="B9" s="490">
        <v>23.5</v>
      </c>
      <c r="C9" s="486">
        <v>2.59</v>
      </c>
      <c r="D9" s="489">
        <v>25</v>
      </c>
      <c r="E9" s="488">
        <v>25.971273724526409</v>
      </c>
      <c r="F9" s="487">
        <f t="shared" si="0"/>
        <v>-0.6231152246585443</v>
      </c>
      <c r="G9" s="448">
        <v>1</v>
      </c>
      <c r="H9" s="94">
        <f t="shared" si="1"/>
        <v>0</v>
      </c>
      <c r="I9" s="94">
        <f t="shared" si="2"/>
        <v>-1.4100000000000001</v>
      </c>
      <c r="J9" s="448">
        <f t="shared" si="3"/>
        <v>0</v>
      </c>
      <c r="K9" s="485">
        <f t="shared" si="4"/>
        <v>-0.66782407407407396</v>
      </c>
      <c r="L9" s="486">
        <f t="shared" si="5"/>
        <v>1.3234166666666676</v>
      </c>
      <c r="M9" s="89">
        <f t="shared" si="6"/>
        <v>0</v>
      </c>
      <c r="N9" s="508">
        <f t="shared" si="7"/>
        <v>-1.7294647637050804</v>
      </c>
      <c r="O9" s="94">
        <f t="shared" si="8"/>
        <v>0</v>
      </c>
      <c r="P9" s="499">
        <f t="shared" si="9"/>
        <v>-0.89349614860074555</v>
      </c>
      <c r="Q9" s="475">
        <f t="shared" si="10"/>
        <v>1.7840303389662355</v>
      </c>
      <c r="R9" s="485">
        <v>-0.41561278635115573</v>
      </c>
      <c r="S9" s="484">
        <f t="shared" si="11"/>
        <v>25.971273724526412</v>
      </c>
      <c r="T9" s="1"/>
      <c r="U9" s="1"/>
    </row>
    <row r="10" spans="1:21">
      <c r="A10" s="63">
        <v>8</v>
      </c>
      <c r="B10" s="109">
        <v>23.5</v>
      </c>
      <c r="C10" s="480">
        <v>5.41</v>
      </c>
      <c r="D10" s="483">
        <v>33</v>
      </c>
      <c r="E10" s="482">
        <v>31.019993666353347</v>
      </c>
      <c r="F10" s="481">
        <f t="shared" si="0"/>
        <v>1.0860008201191766</v>
      </c>
      <c r="G10" s="95">
        <v>1</v>
      </c>
      <c r="H10" s="96">
        <f t="shared" si="1"/>
        <v>0</v>
      </c>
      <c r="I10" s="96">
        <f t="shared" si="2"/>
        <v>1.4100000000000001</v>
      </c>
      <c r="J10" s="95">
        <f t="shared" si="3"/>
        <v>0</v>
      </c>
      <c r="K10" s="479">
        <f t="shared" si="4"/>
        <v>-0.66782407407407396</v>
      </c>
      <c r="L10" s="480">
        <f t="shared" si="5"/>
        <v>1.3234166666666676</v>
      </c>
      <c r="M10" s="75">
        <f t="shared" si="6"/>
        <v>0</v>
      </c>
      <c r="N10" s="510">
        <f t="shared" si="7"/>
        <v>1.7294647637050804</v>
      </c>
      <c r="O10" s="96">
        <f t="shared" si="8"/>
        <v>0</v>
      </c>
      <c r="P10" s="498">
        <f t="shared" si="9"/>
        <v>-0.89349614860074555</v>
      </c>
      <c r="Q10" s="97">
        <f t="shared" si="10"/>
        <v>1.7840303389662355</v>
      </c>
      <c r="R10" s="485">
        <v>0.66299324591955122</v>
      </c>
      <c r="S10" s="484">
        <f t="shared" si="11"/>
        <v>31.019993666353347</v>
      </c>
      <c r="T10" s="1"/>
      <c r="U10" s="1"/>
    </row>
    <row r="11" spans="1:21">
      <c r="A11" s="38">
        <v>9</v>
      </c>
      <c r="B11" s="112">
        <v>23.5</v>
      </c>
      <c r="C11" s="494">
        <v>4</v>
      </c>
      <c r="D11" s="489">
        <v>31</v>
      </c>
      <c r="E11" s="488">
        <v>29.250633075698886</v>
      </c>
      <c r="F11" s="495">
        <f t="shared" si="0"/>
        <v>0.6587218089247463</v>
      </c>
      <c r="G11" s="39">
        <v>1</v>
      </c>
      <c r="H11" s="40">
        <f t="shared" si="1"/>
        <v>0</v>
      </c>
      <c r="I11" s="40">
        <f t="shared" si="2"/>
        <v>0</v>
      </c>
      <c r="J11" s="39">
        <f t="shared" si="3"/>
        <v>0</v>
      </c>
      <c r="K11" s="493">
        <f t="shared" si="4"/>
        <v>-0.66782407407407396</v>
      </c>
      <c r="L11" s="494">
        <f t="shared" si="5"/>
        <v>-0.66468333333333296</v>
      </c>
      <c r="M11" s="87">
        <f t="shared" si="6"/>
        <v>0</v>
      </c>
      <c r="N11" s="40">
        <f t="shared" si="7"/>
        <v>0</v>
      </c>
      <c r="O11" s="40">
        <f t="shared" si="8"/>
        <v>0</v>
      </c>
      <c r="P11" s="500">
        <f t="shared" si="9"/>
        <v>-0.89349614860074555</v>
      </c>
      <c r="Q11" s="41">
        <f t="shared" si="10"/>
        <v>-0.89602561486445875</v>
      </c>
      <c r="R11" s="493">
        <v>0.28498792410893636</v>
      </c>
      <c r="S11" s="492">
        <f t="shared" si="11"/>
        <v>29.250633075698889</v>
      </c>
      <c r="T11" s="1"/>
      <c r="U11" s="1"/>
    </row>
    <row r="12" spans="1:21">
      <c r="A12" s="34">
        <v>10</v>
      </c>
      <c r="B12" s="490">
        <v>23.5</v>
      </c>
      <c r="C12" s="486">
        <v>4</v>
      </c>
      <c r="D12" s="489">
        <v>29</v>
      </c>
      <c r="E12" s="488">
        <v>29.250633075698886</v>
      </c>
      <c r="F12" s="487">
        <f t="shared" si="0"/>
        <v>0.23144279773031612</v>
      </c>
      <c r="G12" s="448">
        <v>1</v>
      </c>
      <c r="H12" s="94">
        <f t="shared" si="1"/>
        <v>0</v>
      </c>
      <c r="I12" s="94">
        <f t="shared" si="2"/>
        <v>0</v>
      </c>
      <c r="J12" s="448">
        <f t="shared" si="3"/>
        <v>0</v>
      </c>
      <c r="K12" s="485">
        <f t="shared" si="4"/>
        <v>-0.66782407407407396</v>
      </c>
      <c r="L12" s="486">
        <f t="shared" si="5"/>
        <v>-0.66468333333333296</v>
      </c>
      <c r="M12" s="89">
        <f t="shared" si="6"/>
        <v>0</v>
      </c>
      <c r="N12" s="94">
        <f t="shared" si="7"/>
        <v>0</v>
      </c>
      <c r="O12" s="94">
        <f t="shared" si="8"/>
        <v>0</v>
      </c>
      <c r="P12" s="499">
        <f t="shared" si="9"/>
        <v>-0.89349614860074555</v>
      </c>
      <c r="Q12" s="475">
        <f t="shared" si="10"/>
        <v>-0.89602561486445875</v>
      </c>
      <c r="R12" s="485">
        <v>0.28498792410893636</v>
      </c>
      <c r="S12" s="484">
        <f t="shared" si="11"/>
        <v>29.250633075698889</v>
      </c>
      <c r="T12" s="1"/>
      <c r="U12" s="1"/>
    </row>
    <row r="13" spans="1:21">
      <c r="A13" s="34">
        <v>11</v>
      </c>
      <c r="B13" s="490">
        <v>23.5</v>
      </c>
      <c r="C13" s="486">
        <v>4</v>
      </c>
      <c r="D13" s="489">
        <v>32</v>
      </c>
      <c r="E13" s="488">
        <v>29.250633075698886</v>
      </c>
      <c r="F13" s="487">
        <f t="shared" si="0"/>
        <v>0.87236131452196142</v>
      </c>
      <c r="G13" s="448">
        <v>1</v>
      </c>
      <c r="H13" s="94">
        <f t="shared" si="1"/>
        <v>0</v>
      </c>
      <c r="I13" s="94">
        <f t="shared" si="2"/>
        <v>0</v>
      </c>
      <c r="J13" s="448">
        <f t="shared" si="3"/>
        <v>0</v>
      </c>
      <c r="K13" s="485">
        <f t="shared" si="4"/>
        <v>-0.66782407407407396</v>
      </c>
      <c r="L13" s="486">
        <f t="shared" si="5"/>
        <v>-0.66468333333333296</v>
      </c>
      <c r="M13" s="89">
        <f t="shared" si="6"/>
        <v>0</v>
      </c>
      <c r="N13" s="94">
        <f t="shared" si="7"/>
        <v>0</v>
      </c>
      <c r="O13" s="94">
        <f t="shared" si="8"/>
        <v>0</v>
      </c>
      <c r="P13" s="499">
        <f t="shared" si="9"/>
        <v>-0.89349614860074555</v>
      </c>
      <c r="Q13" s="475">
        <f t="shared" si="10"/>
        <v>-0.89602561486445875</v>
      </c>
      <c r="R13" s="485">
        <v>0.28498792410893636</v>
      </c>
      <c r="S13" s="484">
        <f t="shared" si="11"/>
        <v>29.250633075698889</v>
      </c>
      <c r="T13" s="1"/>
      <c r="U13" s="1"/>
    </row>
    <row r="14" spans="1:21">
      <c r="A14" s="63">
        <v>12</v>
      </c>
      <c r="B14" s="109">
        <v>23.5</v>
      </c>
      <c r="C14" s="480">
        <v>4</v>
      </c>
      <c r="D14" s="483">
        <v>25</v>
      </c>
      <c r="E14" s="482">
        <v>29.250633075698886</v>
      </c>
      <c r="F14" s="481">
        <f t="shared" si="0"/>
        <v>-0.6231152246585443</v>
      </c>
      <c r="G14" s="95">
        <v>1</v>
      </c>
      <c r="H14" s="96">
        <f t="shared" si="1"/>
        <v>0</v>
      </c>
      <c r="I14" s="96">
        <f t="shared" si="2"/>
        <v>0</v>
      </c>
      <c r="J14" s="95">
        <f t="shared" si="3"/>
        <v>0</v>
      </c>
      <c r="K14" s="479">
        <f t="shared" si="4"/>
        <v>-0.66782407407407396</v>
      </c>
      <c r="L14" s="480">
        <f t="shared" si="5"/>
        <v>-0.66468333333333296</v>
      </c>
      <c r="M14" s="75">
        <f t="shared" si="6"/>
        <v>0</v>
      </c>
      <c r="N14" s="96">
        <f t="shared" si="7"/>
        <v>0</v>
      </c>
      <c r="O14" s="96">
        <f t="shared" si="8"/>
        <v>0</v>
      </c>
      <c r="P14" s="498">
        <f t="shared" si="9"/>
        <v>-0.89349614860074555</v>
      </c>
      <c r="Q14" s="97">
        <f t="shared" si="10"/>
        <v>-0.89602561486445875</v>
      </c>
      <c r="R14" s="479">
        <v>0.28498792410893636</v>
      </c>
      <c r="S14" s="478">
        <f t="shared" si="11"/>
        <v>29.250633075698889</v>
      </c>
      <c r="T14" s="1"/>
      <c r="U14" s="1"/>
    </row>
    <row r="15" spans="1:21">
      <c r="A15" s="477" t="s">
        <v>42</v>
      </c>
      <c r="B15" s="87">
        <f>AVERAGE(B3:B14)</f>
        <v>23.5</v>
      </c>
      <c r="C15" s="41">
        <f>AVERAGE(C3:C14)</f>
        <v>4</v>
      </c>
      <c r="D15" s="476">
        <f>AVERAGE(D3:D14)</f>
        <v>27.916666666666668</v>
      </c>
      <c r="E15" s="476">
        <f>AVERAGE(E3:E14)</f>
        <v>27.916666666666668</v>
      </c>
      <c r="F15" s="39">
        <v>0</v>
      </c>
      <c r="G15" s="94">
        <f>AVERAGE(G3:G14)</f>
        <v>1</v>
      </c>
      <c r="H15" s="87">
        <f>AVERAGE(H3:H14)</f>
        <v>0</v>
      </c>
      <c r="I15" s="41">
        <f>AVERAGE(I3:I14)</f>
        <v>0</v>
      </c>
      <c r="J15" s="39">
        <f>AVERAGE(J3:J14)</f>
        <v>0</v>
      </c>
      <c r="K15" s="87">
        <v>0</v>
      </c>
      <c r="L15" s="41">
        <v>0</v>
      </c>
      <c r="M15" s="87">
        <f>AVERAGE(M3:M14)</f>
        <v>0</v>
      </c>
      <c r="N15" s="41">
        <f>AVERAGE(N3:N14)</f>
        <v>0</v>
      </c>
      <c r="O15" s="39">
        <f>AVERAGE(O3:O14)</f>
        <v>0</v>
      </c>
      <c r="P15" s="87">
        <v>0</v>
      </c>
      <c r="Q15" s="41">
        <v>0</v>
      </c>
      <c r="R15" s="39">
        <v>0</v>
      </c>
      <c r="S15" s="39">
        <f>AVERAGE(S3:S14)</f>
        <v>27.916666666666668</v>
      </c>
      <c r="T15" s="1"/>
      <c r="U15" s="1"/>
    </row>
    <row r="16" spans="1:21">
      <c r="A16" s="444" t="s">
        <v>41</v>
      </c>
      <c r="B16" s="75">
        <f t="shared" ref="B16:S16" si="12">_xlfn.STDEV.P(B3:B14)</f>
        <v>4.9032302277852171</v>
      </c>
      <c r="C16" s="97">
        <f t="shared" si="12"/>
        <v>0.815281137604282</v>
      </c>
      <c r="D16" s="1">
        <f t="shared" si="12"/>
        <v>4.6807822233278724</v>
      </c>
      <c r="E16" s="1">
        <f t="shared" si="12"/>
        <v>4.268998317770242</v>
      </c>
      <c r="F16" s="95">
        <f t="shared" si="12"/>
        <v>1</v>
      </c>
      <c r="G16" s="94">
        <f t="shared" si="12"/>
        <v>0</v>
      </c>
      <c r="H16" s="106">
        <f t="shared" si="12"/>
        <v>0.81720503796420274</v>
      </c>
      <c r="I16" s="77">
        <f t="shared" si="12"/>
        <v>0.81528113760428278</v>
      </c>
      <c r="J16" s="92">
        <f t="shared" si="12"/>
        <v>0.57735026918962573</v>
      </c>
      <c r="K16" s="106">
        <f t="shared" si="12"/>
        <v>0.74742803885603304</v>
      </c>
      <c r="L16" s="77">
        <f t="shared" si="12"/>
        <v>0.74181287042098587</v>
      </c>
      <c r="M16" s="75">
        <f t="shared" si="12"/>
        <v>1</v>
      </c>
      <c r="N16" s="97">
        <f t="shared" si="12"/>
        <v>0.99999999999999989</v>
      </c>
      <c r="O16" s="95">
        <f t="shared" si="12"/>
        <v>1</v>
      </c>
      <c r="P16" s="89">
        <f t="shared" si="12"/>
        <v>1.0000000000000002</v>
      </c>
      <c r="Q16" s="475">
        <f t="shared" si="12"/>
        <v>1.0000000000000002</v>
      </c>
      <c r="R16" s="448">
        <f t="shared" si="12"/>
        <v>0.91202669000378533</v>
      </c>
      <c r="S16" s="448">
        <f t="shared" si="12"/>
        <v>4.2689983177702784</v>
      </c>
    </row>
    <row r="17" spans="1:21" ht="18.75">
      <c r="A17" s="567" t="s">
        <v>35</v>
      </c>
      <c r="B17" s="575"/>
      <c r="C17" s="575"/>
      <c r="D17" s="575"/>
      <c r="E17" s="575"/>
      <c r="F17" s="575"/>
      <c r="G17" s="569"/>
      <c r="H17" s="567" t="s">
        <v>194</v>
      </c>
      <c r="I17" s="577"/>
      <c r="J17" s="577"/>
      <c r="K17" s="577"/>
      <c r="L17" s="578"/>
      <c r="M17" s="579" t="s">
        <v>47</v>
      </c>
      <c r="N17" s="579" t="s">
        <v>34</v>
      </c>
      <c r="O17" s="579" t="s">
        <v>193</v>
      </c>
      <c r="P17" s="567" t="s">
        <v>27</v>
      </c>
      <c r="Q17" s="577"/>
      <c r="R17" s="577"/>
      <c r="S17" s="577"/>
      <c r="T17" s="577"/>
      <c r="U17" s="584"/>
    </row>
    <row r="18" spans="1:21">
      <c r="A18" s="460"/>
      <c r="B18" s="69">
        <v>0</v>
      </c>
      <c r="C18" s="69">
        <v>1</v>
      </c>
      <c r="D18" s="70">
        <v>2</v>
      </c>
      <c r="E18" s="71">
        <v>12</v>
      </c>
      <c r="F18" s="69">
        <v>11</v>
      </c>
      <c r="G18" s="71">
        <v>22</v>
      </c>
      <c r="H18" s="571" t="s">
        <v>189</v>
      </c>
      <c r="I18" s="573" t="s">
        <v>188</v>
      </c>
      <c r="J18" s="579" t="s">
        <v>187</v>
      </c>
      <c r="K18" s="571" t="s">
        <v>186</v>
      </c>
      <c r="L18" s="573" t="s">
        <v>185</v>
      </c>
      <c r="M18" s="580"/>
      <c r="N18" s="580"/>
      <c r="O18" s="585"/>
      <c r="P18" s="74"/>
      <c r="Q18" s="472" t="s">
        <v>30</v>
      </c>
      <c r="R18" s="472" t="s">
        <v>31</v>
      </c>
      <c r="S18" s="472" t="s">
        <v>32</v>
      </c>
      <c r="T18" s="471" t="s">
        <v>3</v>
      </c>
      <c r="U18" s="470" t="s">
        <v>33</v>
      </c>
    </row>
    <row r="19" spans="1:21">
      <c r="A19" s="7">
        <v>0</v>
      </c>
      <c r="B19" s="456">
        <f t="array" ref="B19:G24">MMULT(TRANSPOSE(G3:L14),G3:L14)</f>
        <v>12</v>
      </c>
      <c r="C19" s="456">
        <v>0</v>
      </c>
      <c r="D19" s="93">
        <v>0</v>
      </c>
      <c r="E19" s="457">
        <v>0</v>
      </c>
      <c r="F19" s="456">
        <v>1.7763568394002505E-15</v>
      </c>
      <c r="G19" s="457">
        <v>5.5511151231257827E-15</v>
      </c>
      <c r="H19" s="572"/>
      <c r="I19" s="574"/>
      <c r="J19" s="582"/>
      <c r="K19" s="572"/>
      <c r="L19" s="574"/>
      <c r="M19" s="7">
        <v>0</v>
      </c>
      <c r="N19" s="118">
        <f t="array" ref="N19:N24">MMULT(TRANSPOSE(G3:L14),D3:D14)</f>
        <v>335</v>
      </c>
      <c r="O19" s="586"/>
      <c r="P19" s="129" t="s">
        <v>5</v>
      </c>
      <c r="Q19" s="81">
        <f>SUMSQ(E3:E14)-12*AVERAGE(D3:D14)^2</f>
        <v>218.69215964550131</v>
      </c>
      <c r="R19" s="88">
        <v>5</v>
      </c>
      <c r="S19" s="80">
        <f>Q19/R19</f>
        <v>43.738431929100258</v>
      </c>
      <c r="T19" s="1">
        <f>S19/S20</f>
        <v>5.9340535203480904</v>
      </c>
      <c r="U19" s="90">
        <f>FDIST(T19,R19,R20)</f>
        <v>2.5525854656178848E-2</v>
      </c>
    </row>
    <row r="20" spans="1:21" ht="18.75">
      <c r="A20" s="78">
        <v>1</v>
      </c>
      <c r="B20" s="455">
        <v>0</v>
      </c>
      <c r="C20" s="455">
        <v>8.0138888888888893</v>
      </c>
      <c r="D20" s="90">
        <v>0</v>
      </c>
      <c r="E20" s="1">
        <v>0</v>
      </c>
      <c r="F20" s="455">
        <v>0</v>
      </c>
      <c r="G20" s="1">
        <v>0</v>
      </c>
      <c r="H20" s="81">
        <f t="array" ref="H20:L24">MMULT(TRANSPOSE(M3:Q14),M3:Q14)</f>
        <v>12.000000000000002</v>
      </c>
      <c r="I20" s="80">
        <v>0</v>
      </c>
      <c r="J20" s="88">
        <v>0</v>
      </c>
      <c r="K20" s="81">
        <v>0</v>
      </c>
      <c r="L20" s="80">
        <v>0</v>
      </c>
      <c r="M20" s="78" t="s">
        <v>182</v>
      </c>
      <c r="N20" s="450">
        <v>36.25</v>
      </c>
      <c r="O20" s="467">
        <f t="array" ref="O20:O24">MMULT(TRANSPOSE(M3:Q14),F3:F14)</f>
        <v>9.4767307078670875</v>
      </c>
      <c r="P20" s="127" t="s">
        <v>6</v>
      </c>
      <c r="Q20" s="106">
        <f>SUMSQ(D3:D14)-SUMSQ(E3:E14)</f>
        <v>44.224507021164754</v>
      </c>
      <c r="R20" s="76">
        <f>12-6</f>
        <v>6</v>
      </c>
      <c r="S20" s="77">
        <f>Q20/R20</f>
        <v>7.3707511701941257</v>
      </c>
      <c r="T20" s="40" t="s">
        <v>192</v>
      </c>
      <c r="U20" s="80">
        <f>Q19/Q21</f>
        <v>0.83179268327924616</v>
      </c>
    </row>
    <row r="21" spans="1:21">
      <c r="A21" s="78">
        <v>2</v>
      </c>
      <c r="B21" s="455">
        <v>0</v>
      </c>
      <c r="C21" s="455">
        <v>0</v>
      </c>
      <c r="D21" s="90">
        <v>7.9762000000000004</v>
      </c>
      <c r="E21" s="1">
        <v>0</v>
      </c>
      <c r="F21" s="455">
        <v>0</v>
      </c>
      <c r="G21" s="1">
        <v>0</v>
      </c>
      <c r="H21" s="106">
        <v>0</v>
      </c>
      <c r="I21" s="77">
        <v>11.999999999999998</v>
      </c>
      <c r="J21" s="76">
        <v>0</v>
      </c>
      <c r="K21" s="106">
        <v>0</v>
      </c>
      <c r="L21" s="77">
        <v>0</v>
      </c>
      <c r="M21" s="78" t="s">
        <v>98</v>
      </c>
      <c r="N21" s="450">
        <v>14.280000000000001</v>
      </c>
      <c r="O21" s="468">
        <v>3.7419878851766115</v>
      </c>
      <c r="P21" s="127" t="s">
        <v>7</v>
      </c>
      <c r="Q21" s="106">
        <f>SUMSQ(D3:D14)-12*AVERAGE(D3:D14)^2</f>
        <v>262.91666666666606</v>
      </c>
      <c r="R21" s="76">
        <f>12-1</f>
        <v>11</v>
      </c>
      <c r="S21" s="77">
        <f>Q21/R21</f>
        <v>23.901515151515095</v>
      </c>
      <c r="T21" s="96" t="s">
        <v>191</v>
      </c>
      <c r="U21" s="77">
        <f>SQRT(S20)</f>
        <v>2.7149127371232624</v>
      </c>
    </row>
    <row r="22" spans="1:21">
      <c r="A22" s="7">
        <v>12</v>
      </c>
      <c r="B22" s="456">
        <v>0</v>
      </c>
      <c r="C22" s="456">
        <v>0</v>
      </c>
      <c r="D22" s="93">
        <v>0</v>
      </c>
      <c r="E22" s="457">
        <v>4</v>
      </c>
      <c r="F22" s="456">
        <v>0</v>
      </c>
      <c r="G22" s="457">
        <v>0</v>
      </c>
      <c r="H22" s="455">
        <v>0</v>
      </c>
      <c r="I22" s="90">
        <v>0</v>
      </c>
      <c r="J22" s="1">
        <v>12.000000000000002</v>
      </c>
      <c r="K22" s="455">
        <v>0</v>
      </c>
      <c r="L22" s="90">
        <v>0</v>
      </c>
      <c r="M22" s="69">
        <v>12</v>
      </c>
      <c r="N22" s="450">
        <v>7</v>
      </c>
      <c r="O22" s="468">
        <v>2.5902413473879049</v>
      </c>
    </row>
    <row r="23" spans="1:21">
      <c r="A23" s="69">
        <v>11</v>
      </c>
      <c r="B23" s="81">
        <v>1.7763568394002505E-15</v>
      </c>
      <c r="C23" s="81">
        <v>0</v>
      </c>
      <c r="D23" s="80">
        <v>0</v>
      </c>
      <c r="E23" s="88">
        <v>0</v>
      </c>
      <c r="F23" s="81">
        <v>6.7037840792181065</v>
      </c>
      <c r="G23" s="88">
        <v>-1.3266983796296303</v>
      </c>
      <c r="H23" s="81">
        <v>0</v>
      </c>
      <c r="I23" s="80">
        <v>0</v>
      </c>
      <c r="J23" s="88">
        <v>0</v>
      </c>
      <c r="K23" s="81">
        <v>12.000000000000004</v>
      </c>
      <c r="L23" s="80">
        <v>-2.3928112880904209</v>
      </c>
      <c r="M23" s="69">
        <v>11</v>
      </c>
      <c r="N23" s="118">
        <v>-10.353009259259217</v>
      </c>
      <c r="O23" s="467">
        <v>-2.9592304069523543</v>
      </c>
    </row>
    <row r="24" spans="1:21">
      <c r="A24" s="91">
        <v>22</v>
      </c>
      <c r="B24" s="106">
        <v>5.5511151231257827E-15</v>
      </c>
      <c r="C24" s="106">
        <v>0</v>
      </c>
      <c r="D24" s="77">
        <v>0</v>
      </c>
      <c r="E24" s="76">
        <v>0</v>
      </c>
      <c r="F24" s="106">
        <v>-1.3266983796296303</v>
      </c>
      <c r="G24" s="76">
        <v>6.6034360166666684</v>
      </c>
      <c r="H24" s="106">
        <v>0</v>
      </c>
      <c r="I24" s="77">
        <v>0</v>
      </c>
      <c r="J24" s="76">
        <v>0</v>
      </c>
      <c r="K24" s="106">
        <v>-2.3928112880904209</v>
      </c>
      <c r="L24" s="77">
        <v>12.000000000000005</v>
      </c>
      <c r="M24" s="91">
        <v>22</v>
      </c>
      <c r="N24" s="92">
        <v>-0.35911666666650888</v>
      </c>
      <c r="O24" s="466">
        <v>-0.1034243407974923</v>
      </c>
      <c r="P24" s="1"/>
      <c r="Q24" s="1"/>
      <c r="R24" s="1"/>
      <c r="S24" s="1"/>
      <c r="U24" s="1"/>
    </row>
    <row r="25" spans="1:21" ht="18.75">
      <c r="A25" s="567" t="s">
        <v>40</v>
      </c>
      <c r="B25" s="575"/>
      <c r="C25" s="575"/>
      <c r="D25" s="575"/>
      <c r="E25" s="575"/>
      <c r="F25" s="575"/>
      <c r="G25" s="569"/>
      <c r="H25" s="557" t="s">
        <v>190</v>
      </c>
      <c r="I25" s="581"/>
      <c r="J25" s="581"/>
      <c r="K25" s="581"/>
      <c r="L25" s="558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460"/>
      <c r="B26" s="69">
        <v>0</v>
      </c>
      <c r="C26" s="69">
        <v>1</v>
      </c>
      <c r="D26" s="70">
        <v>2</v>
      </c>
      <c r="E26" s="71">
        <v>12</v>
      </c>
      <c r="F26" s="69">
        <v>11</v>
      </c>
      <c r="G26" s="70">
        <v>22</v>
      </c>
      <c r="H26" s="7" t="s">
        <v>189</v>
      </c>
      <c r="I26" s="454" t="s">
        <v>188</v>
      </c>
      <c r="J26" s="464" t="s">
        <v>187</v>
      </c>
      <c r="K26" s="7" t="s">
        <v>186</v>
      </c>
      <c r="L26" s="454" t="s">
        <v>185</v>
      </c>
      <c r="M26" s="454" t="s">
        <v>47</v>
      </c>
      <c r="N26" s="463" t="s">
        <v>39</v>
      </c>
      <c r="O26" s="579" t="s">
        <v>184</v>
      </c>
      <c r="P26" s="579" t="s">
        <v>101</v>
      </c>
      <c r="Q26" s="130" t="s">
        <v>183</v>
      </c>
      <c r="R26" s="462" t="s">
        <v>43</v>
      </c>
      <c r="S26" s="462" t="s">
        <v>33</v>
      </c>
      <c r="T26" s="1"/>
      <c r="U26" s="1"/>
    </row>
    <row r="27" spans="1:21">
      <c r="A27" s="7">
        <v>0</v>
      </c>
      <c r="B27" s="456">
        <f t="array" ref="B27:G32">MINVERSE(B19:G24)</f>
        <v>8.3333333333333329E-2</v>
      </c>
      <c r="C27" s="456">
        <v>0</v>
      </c>
      <c r="D27" s="93">
        <v>0</v>
      </c>
      <c r="E27" s="457">
        <v>0</v>
      </c>
      <c r="F27" s="456">
        <v>-3.7433674808218839E-17</v>
      </c>
      <c r="G27" s="93">
        <v>-7.7574178252941636E-17</v>
      </c>
      <c r="H27" s="460"/>
      <c r="I27" s="459"/>
      <c r="J27" s="461"/>
      <c r="K27" s="460"/>
      <c r="L27" s="459"/>
      <c r="M27" s="454">
        <v>0</v>
      </c>
      <c r="N27" s="74">
        <f t="array" ref="N27:N32">MMULT(B27:G32,N19:N24)</f>
        <v>27.916666666666664</v>
      </c>
      <c r="O27" s="580"/>
      <c r="P27" s="580"/>
      <c r="Q27" s="451">
        <f t="array" ref="Q27:Q32">SQRT([1]!DIAG(B27:G32)*S20)</f>
        <v>0.78372779980222962</v>
      </c>
      <c r="R27" s="451">
        <f t="shared" ref="R27:R32" si="13">N27/Q27</f>
        <v>35.620360377303598</v>
      </c>
      <c r="S27" s="451">
        <f>TDIST(ABS(R27),11,2)</f>
        <v>1.0264350440629683E-12</v>
      </c>
      <c r="T27" s="1"/>
      <c r="U27" s="1"/>
    </row>
    <row r="28" spans="1:21">
      <c r="A28" s="78">
        <v>1</v>
      </c>
      <c r="B28" s="455">
        <v>0</v>
      </c>
      <c r="C28" s="455">
        <v>0.12478336221837087</v>
      </c>
      <c r="D28" s="90">
        <v>0</v>
      </c>
      <c r="E28" s="1">
        <v>0</v>
      </c>
      <c r="F28" s="455">
        <v>0</v>
      </c>
      <c r="G28" s="90">
        <v>0</v>
      </c>
      <c r="H28" s="81">
        <f t="array" ref="H28:L32">MINVERSE(H20:L24)</f>
        <v>8.3333333333333315E-2</v>
      </c>
      <c r="I28" s="80">
        <v>0</v>
      </c>
      <c r="J28" s="88">
        <v>0</v>
      </c>
      <c r="K28" s="81">
        <v>0</v>
      </c>
      <c r="L28" s="80">
        <v>0</v>
      </c>
      <c r="M28" s="458" t="s">
        <v>182</v>
      </c>
      <c r="N28" s="450">
        <v>4.5233968804159437</v>
      </c>
      <c r="O28" s="449">
        <f t="array" ref="O28:O32">MMULT(H28:L32,O20:O24)</f>
        <v>0.78972755898892377</v>
      </c>
      <c r="P28" s="448">
        <f t="array" ref="P28">[1]!VIF(H$3:L$14,1)</f>
        <v>1</v>
      </c>
      <c r="Q28" s="447">
        <v>0.95903446918857649</v>
      </c>
      <c r="R28" s="447">
        <f t="shared" si="13"/>
        <v>4.7166155396303076</v>
      </c>
      <c r="S28" s="447">
        <f>TDIST(ABS(R28),6,2)</f>
        <v>3.2694308668224938E-3</v>
      </c>
      <c r="T28" s="1" t="s">
        <v>181</v>
      </c>
      <c r="U28" s="1"/>
    </row>
    <row r="29" spans="1:21">
      <c r="A29" s="78">
        <v>2</v>
      </c>
      <c r="B29" s="455">
        <v>0</v>
      </c>
      <c r="C29" s="455">
        <v>0</v>
      </c>
      <c r="D29" s="90">
        <v>0.12537298462927207</v>
      </c>
      <c r="E29" s="1">
        <v>0</v>
      </c>
      <c r="F29" s="455">
        <v>0</v>
      </c>
      <c r="G29" s="90">
        <v>0</v>
      </c>
      <c r="H29" s="106">
        <v>0</v>
      </c>
      <c r="I29" s="77">
        <v>8.3333333333333343E-2</v>
      </c>
      <c r="J29" s="76">
        <v>0</v>
      </c>
      <c r="K29" s="106">
        <v>0</v>
      </c>
      <c r="L29" s="77">
        <v>0</v>
      </c>
      <c r="M29" s="458" t="s">
        <v>98</v>
      </c>
      <c r="N29" s="450">
        <v>1.7903262205060053</v>
      </c>
      <c r="O29" s="449">
        <v>0.31183232376471764</v>
      </c>
      <c r="P29" s="448">
        <f>[1]!VIF(H$3:L$14,2)</f>
        <v>1</v>
      </c>
      <c r="Q29" s="447">
        <v>0.96129759864827358</v>
      </c>
      <c r="R29" s="447">
        <f t="shared" si="13"/>
        <v>1.8624057971469694</v>
      </c>
      <c r="S29" s="447">
        <f>TDIST(ABS(R29),6,2)</f>
        <v>0.11185013467105707</v>
      </c>
      <c r="T29" s="1"/>
      <c r="U29" s="1"/>
    </row>
    <row r="30" spans="1:21">
      <c r="A30" s="7">
        <v>12</v>
      </c>
      <c r="B30" s="456">
        <v>0</v>
      </c>
      <c r="C30" s="456">
        <v>0</v>
      </c>
      <c r="D30" s="93">
        <v>0</v>
      </c>
      <c r="E30" s="457">
        <v>0.25</v>
      </c>
      <c r="F30" s="456">
        <v>0</v>
      </c>
      <c r="G30" s="93">
        <v>0</v>
      </c>
      <c r="H30" s="455">
        <v>0</v>
      </c>
      <c r="I30" s="90">
        <v>0</v>
      </c>
      <c r="J30" s="1">
        <v>8.3333333333333315E-2</v>
      </c>
      <c r="K30" s="455">
        <v>0</v>
      </c>
      <c r="L30" s="90">
        <v>0</v>
      </c>
      <c r="M30" s="454">
        <v>12</v>
      </c>
      <c r="N30" s="74">
        <v>1.75</v>
      </c>
      <c r="O30" s="453">
        <v>0.2158534456156587</v>
      </c>
      <c r="P30" s="452">
        <f>[1]!VIF(H$3:L$14,3)</f>
        <v>1</v>
      </c>
      <c r="Q30" s="451">
        <v>1.3574563685616312</v>
      </c>
      <c r="R30" s="451">
        <f t="shared" si="13"/>
        <v>1.289175873736782</v>
      </c>
      <c r="S30" s="451">
        <f>TDIST(ABS(R30),6,2)</f>
        <v>0.24480370532145257</v>
      </c>
      <c r="T30" s="1"/>
      <c r="U30" s="1"/>
    </row>
    <row r="31" spans="1:21">
      <c r="A31" s="69">
        <v>11</v>
      </c>
      <c r="B31" s="81">
        <v>-3.7433674808218832E-17</v>
      </c>
      <c r="C31" s="81">
        <v>0</v>
      </c>
      <c r="D31" s="80">
        <v>0</v>
      </c>
      <c r="E31" s="88">
        <v>0</v>
      </c>
      <c r="F31" s="81">
        <v>0.15534615973060042</v>
      </c>
      <c r="G31" s="80">
        <v>3.1210645166561142E-2</v>
      </c>
      <c r="H31" s="81">
        <v>0</v>
      </c>
      <c r="I31" s="80">
        <v>0</v>
      </c>
      <c r="J31" s="88">
        <v>0</v>
      </c>
      <c r="K31" s="81">
        <v>8.6783926030805966E-2</v>
      </c>
      <c r="L31" s="80">
        <v>1.7304796485943044E-2</v>
      </c>
      <c r="M31" s="70">
        <v>11</v>
      </c>
      <c r="N31" s="450">
        <v>-1.6195084929380066</v>
      </c>
      <c r="O31" s="449">
        <v>-0.25860336991425836</v>
      </c>
      <c r="P31" s="448">
        <f>[1]!VIF(H$3:L$14,4)</f>
        <v>1.041407112369672</v>
      </c>
      <c r="Q31" s="447">
        <v>1.0700550867219345</v>
      </c>
      <c r="R31" s="447">
        <f t="shared" si="13"/>
        <v>-1.5134814207549798</v>
      </c>
      <c r="S31" s="447">
        <f>TDIST(ABS(R31),6,2)</f>
        <v>0.18092431600269707</v>
      </c>
      <c r="T31" s="1"/>
      <c r="U31" s="1"/>
    </row>
    <row r="32" spans="1:21">
      <c r="A32" s="91">
        <v>22</v>
      </c>
      <c r="B32" s="106">
        <v>-7.7574178252941636E-17</v>
      </c>
      <c r="C32" s="106">
        <v>0</v>
      </c>
      <c r="D32" s="77">
        <v>0</v>
      </c>
      <c r="E32" s="76">
        <v>0</v>
      </c>
      <c r="F32" s="106">
        <v>3.1210645166561139E-2</v>
      </c>
      <c r="G32" s="77">
        <v>0.15770685287799022</v>
      </c>
      <c r="H32" s="106">
        <v>0</v>
      </c>
      <c r="I32" s="77">
        <v>0</v>
      </c>
      <c r="J32" s="76">
        <v>0</v>
      </c>
      <c r="K32" s="106">
        <v>1.7304796485943047E-2</v>
      </c>
      <c r="L32" s="77">
        <v>8.6783926030805952E-2</v>
      </c>
      <c r="M32" s="446">
        <v>22</v>
      </c>
      <c r="N32" s="92">
        <v>-0.37975925771289676</v>
      </c>
      <c r="O32" s="445">
        <v>-6.0184450288879351E-2</v>
      </c>
      <c r="P32" s="95">
        <f>[1]!VIF(H$3:L$14,5)</f>
        <v>1.041407112369672</v>
      </c>
      <c r="Q32" s="444">
        <v>1.0781548916542925</v>
      </c>
      <c r="R32" s="444">
        <f t="shared" si="13"/>
        <v>-0.35223070511715082</v>
      </c>
      <c r="S32" s="444">
        <f>TDIST(ABS(R32),6,2)</f>
        <v>0.73670708830531506</v>
      </c>
      <c r="U32" s="1"/>
    </row>
  </sheetData>
  <mergeCells count="18">
    <mergeCell ref="R1:R2"/>
    <mergeCell ref="M17:M18"/>
    <mergeCell ref="O26:O27"/>
    <mergeCell ref="P26:P27"/>
    <mergeCell ref="P17:U17"/>
    <mergeCell ref="O17:O19"/>
    <mergeCell ref="M1:Q1"/>
    <mergeCell ref="N17:N18"/>
    <mergeCell ref="H17:L17"/>
    <mergeCell ref="H25:L25"/>
    <mergeCell ref="H18:H19"/>
    <mergeCell ref="I18:I19"/>
    <mergeCell ref="J18:J19"/>
    <mergeCell ref="K18:K19"/>
    <mergeCell ref="L18:L19"/>
    <mergeCell ref="A17:G17"/>
    <mergeCell ref="A25:G25"/>
    <mergeCell ref="G1:L1"/>
  </mergeCells>
  <conditionalFormatting sqref="B19:G24 B27:G32">
    <cfRule type="cellIs" dxfId="4" priority="3" operator="between">
      <formula>-0.0001</formula>
      <formula>0.0001</formula>
    </cfRule>
  </conditionalFormatting>
  <conditionalFormatting sqref="H20:L24">
    <cfRule type="cellIs" dxfId="3" priority="2" operator="between">
      <formula>-0.0001</formula>
      <formula>0.0001</formula>
    </cfRule>
  </conditionalFormatting>
  <conditionalFormatting sqref="H28:L32">
    <cfRule type="cellIs" dxfId="2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5C1A-601A-484D-946E-79F845F199FC}">
  <sheetPr>
    <pageSetUpPr autoPageBreaks="0"/>
  </sheetPr>
  <dimension ref="A1:AV83"/>
  <sheetViews>
    <sheetView showGridLines="0" zoomScaleNormal="100" workbookViewId="0">
      <pane ySplit="2" topLeftCell="A3" activePane="bottomLeft" state="frozen"/>
      <selection pane="bottomLeft" activeCell="O25" sqref="O25"/>
    </sheetView>
  </sheetViews>
  <sheetFormatPr defaultColWidth="6" defaultRowHeight="15" customHeight="1" outlineLevelRow="1"/>
  <cols>
    <col min="1" max="6" width="6" style="245" customWidth="1"/>
    <col min="7" max="7" width="6" style="365" customWidth="1"/>
    <col min="8" max="12" width="6" style="245" customWidth="1"/>
    <col min="13" max="13" width="6" style="364" customWidth="1"/>
    <col min="14" max="25" width="6" style="245" customWidth="1"/>
    <col min="26" max="43" width="6" style="245"/>
    <col min="44" max="47" width="6" style="245" customWidth="1"/>
    <col min="48" max="16384" width="6" style="245"/>
  </cols>
  <sheetData>
    <row r="1" spans="1:40" ht="15" customHeight="1">
      <c r="A1" s="587" t="s">
        <v>119</v>
      </c>
      <c r="B1" s="588"/>
      <c r="C1" s="589"/>
      <c r="D1" s="587" t="s">
        <v>14</v>
      </c>
      <c r="E1" s="588"/>
      <c r="F1" s="588"/>
      <c r="G1" s="588"/>
      <c r="H1" s="588"/>
      <c r="I1" s="589"/>
      <c r="J1" s="587" t="s">
        <v>180</v>
      </c>
      <c r="K1" s="588"/>
      <c r="L1" s="588"/>
      <c r="M1" s="589"/>
      <c r="N1" s="588" t="s">
        <v>117</v>
      </c>
      <c r="O1" s="588"/>
      <c r="P1" s="588"/>
      <c r="Q1" s="588"/>
      <c r="R1" s="588"/>
      <c r="S1" s="589"/>
      <c r="T1" s="603" t="s">
        <v>116</v>
      </c>
      <c r="U1" s="587" t="s">
        <v>179</v>
      </c>
      <c r="V1" s="593"/>
      <c r="W1" s="593"/>
      <c r="X1" s="593"/>
      <c r="Y1" s="594"/>
      <c r="Z1" s="587" t="s">
        <v>149</v>
      </c>
      <c r="AA1" s="588"/>
      <c r="AB1" s="588"/>
      <c r="AC1" s="589"/>
      <c r="AD1" s="587" t="s">
        <v>178</v>
      </c>
      <c r="AE1" s="605"/>
      <c r="AF1" s="605"/>
      <c r="AG1" s="605"/>
      <c r="AH1" s="605"/>
      <c r="AI1" s="605"/>
      <c r="AJ1" s="605"/>
      <c r="AK1" s="605"/>
      <c r="AL1" s="605"/>
      <c r="AM1" s="605"/>
      <c r="AN1" s="606"/>
    </row>
    <row r="2" spans="1:40" ht="30" customHeight="1">
      <c r="A2" s="334" t="s">
        <v>10</v>
      </c>
      <c r="B2" s="334" t="s">
        <v>177</v>
      </c>
      <c r="C2" s="334" t="s">
        <v>48</v>
      </c>
      <c r="D2" s="334">
        <v>0</v>
      </c>
      <c r="E2" s="361" t="s">
        <v>99</v>
      </c>
      <c r="F2" s="361" t="s">
        <v>98</v>
      </c>
      <c r="G2" s="362" t="s">
        <v>97</v>
      </c>
      <c r="H2" s="361" t="s">
        <v>96</v>
      </c>
      <c r="I2" s="334" t="s">
        <v>95</v>
      </c>
      <c r="J2" s="334">
        <v>0</v>
      </c>
      <c r="K2" s="361" t="s">
        <v>99</v>
      </c>
      <c r="L2" s="361" t="s">
        <v>98</v>
      </c>
      <c r="M2" s="443" t="s">
        <v>97</v>
      </c>
      <c r="N2" s="360">
        <v>0</v>
      </c>
      <c r="O2" s="361">
        <v>1</v>
      </c>
      <c r="P2" s="361">
        <v>2</v>
      </c>
      <c r="Q2" s="361">
        <v>3</v>
      </c>
      <c r="R2" s="361">
        <v>4</v>
      </c>
      <c r="S2" s="360">
        <v>22</v>
      </c>
      <c r="T2" s="604"/>
      <c r="U2" s="424">
        <v>2</v>
      </c>
      <c r="V2" s="361">
        <v>3</v>
      </c>
      <c r="W2" s="361">
        <v>4</v>
      </c>
      <c r="X2" s="360">
        <v>22</v>
      </c>
      <c r="Y2" s="334">
        <v>0</v>
      </c>
      <c r="Z2" s="424" t="s">
        <v>176</v>
      </c>
      <c r="AA2" s="360" t="s">
        <v>175</v>
      </c>
      <c r="AB2" s="424" t="s">
        <v>174</v>
      </c>
      <c r="AC2" s="360" t="s">
        <v>173</v>
      </c>
      <c r="AD2" s="424" t="s">
        <v>10</v>
      </c>
      <c r="AE2" s="424" t="s">
        <v>139</v>
      </c>
      <c r="AF2" s="361" t="s">
        <v>138</v>
      </c>
      <c r="AG2" s="361" t="s">
        <v>137</v>
      </c>
      <c r="AH2" s="361" t="s">
        <v>136</v>
      </c>
      <c r="AI2" s="360" t="s">
        <v>172</v>
      </c>
      <c r="AJ2" s="424" t="s">
        <v>171</v>
      </c>
      <c r="AK2" s="361" t="s">
        <v>170</v>
      </c>
      <c r="AL2" s="361" t="s">
        <v>169</v>
      </c>
      <c r="AM2" s="361" t="s">
        <v>168</v>
      </c>
      <c r="AN2" s="360" t="s">
        <v>167</v>
      </c>
    </row>
    <row r="3" spans="1:40" ht="15" customHeight="1">
      <c r="A3" s="291">
        <v>1</v>
      </c>
      <c r="B3" s="309">
        <v>85.7</v>
      </c>
      <c r="C3" s="309">
        <f t="array" ref="C3:C30">MMULT(X,a)</f>
        <v>85.998219980632285</v>
      </c>
      <c r="D3" s="291">
        <v>1</v>
      </c>
      <c r="E3" s="290">
        <v>-1.2210000000000001</v>
      </c>
      <c r="F3" s="290">
        <v>1.661</v>
      </c>
      <c r="G3" s="290">
        <v>-1.181</v>
      </c>
      <c r="H3" s="290">
        <v>-1.22</v>
      </c>
      <c r="I3" s="289">
        <f t="shared" ref="I3:I30" si="0">(F3^2-I$33)/I$34</f>
        <v>1.3893679010370081</v>
      </c>
      <c r="J3" s="291">
        <f t="shared" ref="J3:J30" si="1">D3</f>
        <v>1</v>
      </c>
      <c r="K3" s="290">
        <f t="shared" ref="K3:K30" si="2">E3</f>
        <v>-1.2210000000000001</v>
      </c>
      <c r="L3" s="290">
        <f t="shared" ref="L3:L30" si="3">F3</f>
        <v>1.661</v>
      </c>
      <c r="M3" s="420">
        <f t="shared" ref="M3:M30" si="4">G3</f>
        <v>-1.181</v>
      </c>
      <c r="N3" s="356">
        <f t="array" ref="N3:S8">MINVERSE(MMULT(TRANSPOSE(X),X))</f>
        <v>3.5714384543241197E-2</v>
      </c>
      <c r="O3" s="357">
        <v>-3.8112093210940939E-3</v>
      </c>
      <c r="P3" s="357">
        <v>1.0319836577000047E-4</v>
      </c>
      <c r="Q3" s="357">
        <v>1.9324175393417177E-4</v>
      </c>
      <c r="R3" s="357">
        <v>3.8689352990822039E-3</v>
      </c>
      <c r="S3" s="356">
        <v>4.5339670057895644E-5</v>
      </c>
      <c r="T3" s="337">
        <f t="array" ref="T3:T8">MMULT(TRANSPOSE(X),y)</f>
        <v>1391.8000000000002</v>
      </c>
      <c r="U3" s="385">
        <f t="array" ref="U3:Y7">MINVERSE(MMULT(TRANSPOSE(X_not_1),X_not_1))</f>
        <v>9.9414521235676068E-2</v>
      </c>
      <c r="V3" s="384">
        <v>3.9860205018821961E-2</v>
      </c>
      <c r="W3" s="384">
        <v>-2.745922469164926E-2</v>
      </c>
      <c r="X3" s="383">
        <v>-5.2552768883297768E-2</v>
      </c>
      <c r="Y3" s="412">
        <v>-1.0502845696308539E-5</v>
      </c>
      <c r="Z3" s="346">
        <f t="array" ref="Z3:Z7">MMULT(TRANSPOSE(X_not_1),x_1)</f>
        <v>8.202868999999998</v>
      </c>
      <c r="AA3" s="339">
        <f t="array" ref="AA3:AA7">MMULT(U3:Y7,Z3:Z7)</f>
        <v>2.9833368331936443E-2</v>
      </c>
      <c r="AB3" s="346">
        <f t="array" ref="AB3:AB7">MMULT(TRANSPOSE(X_not_1),y)</f>
        <v>341.87469999999996</v>
      </c>
      <c r="AC3" s="339">
        <f t="array" ref="AC3:AC7">MMULT(U3:Y7,AB3:AB7)</f>
        <v>4.5032018938654472</v>
      </c>
      <c r="AD3" s="411">
        <v>1</v>
      </c>
      <c r="AE3" s="388">
        <f t="array" ref="AE3:AE30">x_1-MMULT(X_not_1,a_x1)</f>
        <v>1.6144117922883838E-2</v>
      </c>
      <c r="AF3" s="387">
        <f t="array" ref="AF3:AF30">x_2-MMULT(X_not_2,a_x2)</f>
        <v>2.3669231987208494E-2</v>
      </c>
      <c r="AG3" s="387">
        <f t="array" ref="AG3:AG30">x_3-MMULT(X_not_3,a_x3)</f>
        <v>-0.32685373319138067</v>
      </c>
      <c r="AH3" s="387">
        <f t="array" ref="AH3:AH30">x_4-MMULT(X_not_4,a_x4)</f>
        <v>-1.647193302870531E-2</v>
      </c>
      <c r="AI3" s="386">
        <f t="array" ref="AI3:AI30">x_5-MMULT(X_not_5,a_x5)</f>
        <v>-0.54401329185803649</v>
      </c>
      <c r="AJ3" s="434">
        <f t="array" ref="AJ3:AJ30">y-MMULT(X_not_1,a_y1)+y_bar</f>
        <v>50.411568934758229</v>
      </c>
      <c r="AK3" s="433">
        <f t="array" ref="AK3:AK30">y-MMULT(X_not_2,a_y2)+y_bar</f>
        <v>49.471655139100896</v>
      </c>
      <c r="AL3" s="433">
        <f t="array" ref="AL3:AL30">y-MMULT(X_not_3,a_y3)+y_bar</f>
        <v>58.275220469266365</v>
      </c>
      <c r="AM3" s="433">
        <f t="array" ref="AM3:AM30">y-MMULT(X_not_4,a_y4)+y_bar</f>
        <v>50.592018541653779</v>
      </c>
      <c r="AN3" s="432">
        <f t="array" ref="AN3:AN30">y-MMULT(X_not_5,a_y5)+y_bar</f>
        <v>54.086108565115971</v>
      </c>
    </row>
    <row r="4" spans="1:40" ht="15" customHeight="1">
      <c r="A4" s="305">
        <v>2</v>
      </c>
      <c r="B4" s="307">
        <v>89.5</v>
      </c>
      <c r="C4" s="307">
        <v>82.624049012813998</v>
      </c>
      <c r="D4" s="305">
        <v>1</v>
      </c>
      <c r="E4" s="299">
        <v>-1.2210000000000001</v>
      </c>
      <c r="F4" s="299">
        <v>1.6220000000000001</v>
      </c>
      <c r="G4" s="299">
        <v>-1.0289999999999999</v>
      </c>
      <c r="H4" s="299">
        <v>-1.22</v>
      </c>
      <c r="I4" s="304">
        <f t="shared" si="0"/>
        <v>1.2902263823857134</v>
      </c>
      <c r="J4" s="305">
        <f t="shared" si="1"/>
        <v>1</v>
      </c>
      <c r="K4" s="299">
        <f t="shared" si="2"/>
        <v>-1.2210000000000001</v>
      </c>
      <c r="L4" s="299">
        <f t="shared" si="3"/>
        <v>1.6220000000000001</v>
      </c>
      <c r="M4" s="427">
        <f t="shared" si="4"/>
        <v>-1.0289999999999999</v>
      </c>
      <c r="N4" s="352">
        <v>-3.8112093210940939E-3</v>
      </c>
      <c r="O4" s="355">
        <v>151.53016270958304</v>
      </c>
      <c r="P4" s="355">
        <v>-4.5206551575132288</v>
      </c>
      <c r="Q4" s="355">
        <v>-8.2200420183480709</v>
      </c>
      <c r="R4" s="355">
        <v>-153.78213790520698</v>
      </c>
      <c r="S4" s="352">
        <v>-1.6876803877955895</v>
      </c>
      <c r="T4" s="279">
        <v>96.435200000000037</v>
      </c>
      <c r="U4" s="385">
        <v>3.9860205018821961E-2</v>
      </c>
      <c r="V4" s="384">
        <v>6.8055226430269677E-2</v>
      </c>
      <c r="W4" s="384">
        <v>1.5102008360352704E-2</v>
      </c>
      <c r="X4" s="383">
        <v>-1.9313414916659673E-3</v>
      </c>
      <c r="Y4" s="412">
        <v>-1.3504547923603617E-5</v>
      </c>
      <c r="Z4" s="346">
        <v>-10.191030000000003</v>
      </c>
      <c r="AA4" s="339">
        <v>5.4246902869775765E-2</v>
      </c>
      <c r="AB4" s="346">
        <v>-572.54149999999993</v>
      </c>
      <c r="AC4" s="339">
        <v>-23.757137068316052</v>
      </c>
      <c r="AD4" s="411">
        <v>2</v>
      </c>
      <c r="AE4" s="385">
        <v>1.0166287352359804E-2</v>
      </c>
      <c r="AF4" s="384">
        <v>0.17056749802962679</v>
      </c>
      <c r="AG4" s="384">
        <v>-0.21377383572683395</v>
      </c>
      <c r="AH4" s="384">
        <v>-1.0584392775826013E-2</v>
      </c>
      <c r="AI4" s="383">
        <v>-0.49648094460739634</v>
      </c>
      <c r="AJ4" s="426">
        <v>57.214480953216373</v>
      </c>
      <c r="AK4" s="365">
        <v>57.035161113822689</v>
      </c>
      <c r="AL4" s="365">
        <v>62.381964264418379</v>
      </c>
      <c r="AM4" s="365">
        <v>57.343317261303817</v>
      </c>
      <c r="AN4" s="425">
        <v>60.851617432882911</v>
      </c>
    </row>
    <row r="5" spans="1:40" ht="15" customHeight="1">
      <c r="A5" s="305">
        <v>3</v>
      </c>
      <c r="B5" s="307">
        <v>53.6</v>
      </c>
      <c r="C5" s="307">
        <v>57.481500850362728</v>
      </c>
      <c r="D5" s="305">
        <v>1</v>
      </c>
      <c r="E5" s="299">
        <v>-1.2210000000000001</v>
      </c>
      <c r="F5" s="299">
        <v>0.48299999999999998</v>
      </c>
      <c r="G5" s="299">
        <v>0.375</v>
      </c>
      <c r="H5" s="299">
        <v>-1.22</v>
      </c>
      <c r="I5" s="304">
        <f t="shared" si="0"/>
        <v>-0.56627767043301702</v>
      </c>
      <c r="J5" s="305">
        <f t="shared" si="1"/>
        <v>1</v>
      </c>
      <c r="K5" s="299">
        <f t="shared" si="2"/>
        <v>-1.2210000000000001</v>
      </c>
      <c r="L5" s="299">
        <f t="shared" si="3"/>
        <v>0.48299999999999998</v>
      </c>
      <c r="M5" s="427">
        <f t="shared" si="4"/>
        <v>0.375</v>
      </c>
      <c r="N5" s="352">
        <v>1.0319836577000051E-4</v>
      </c>
      <c r="O5" s="355">
        <v>-4.5206551575132323</v>
      </c>
      <c r="P5" s="355">
        <v>0.23428089165143581</v>
      </c>
      <c r="Q5" s="355">
        <v>0.28509174625619316</v>
      </c>
      <c r="R5" s="355">
        <v>4.5603799383070163</v>
      </c>
      <c r="S5" s="352">
        <v>-2.2035782476068654E-3</v>
      </c>
      <c r="T5" s="270">
        <v>341.87469999999996</v>
      </c>
      <c r="U5" s="385">
        <v>-2.7459224691649273E-2</v>
      </c>
      <c r="V5" s="384">
        <v>1.5102008360352699E-2</v>
      </c>
      <c r="W5" s="384">
        <v>6.0502284942598496E-2</v>
      </c>
      <c r="X5" s="383">
        <v>3.4693894730953904E-2</v>
      </c>
      <c r="Y5" s="412">
        <v>1.0854471329824668E-6</v>
      </c>
      <c r="Z5" s="346">
        <v>26.986040000000013</v>
      </c>
      <c r="AA5" s="339">
        <v>1.0148615638982719</v>
      </c>
      <c r="AB5" s="346">
        <v>114.40630000000017</v>
      </c>
      <c r="AC5" s="339">
        <v>-8.7959848619838095</v>
      </c>
      <c r="AD5" s="411">
        <v>3</v>
      </c>
      <c r="AE5" s="385">
        <v>-1.1339182128283776E-2</v>
      </c>
      <c r="AF5" s="384">
        <v>0.75752884656627317</v>
      </c>
      <c r="AG5" s="384">
        <v>0.23471828380942267</v>
      </c>
      <c r="AH5" s="384">
        <v>1.0521528241643541E-2</v>
      </c>
      <c r="AI5" s="383">
        <v>-0.97982023212507841</v>
      </c>
      <c r="AJ5" s="426">
        <v>45.121411133410234</v>
      </c>
      <c r="AK5" s="365">
        <v>47.83337502265293</v>
      </c>
      <c r="AL5" s="365">
        <v>39.458628436538625</v>
      </c>
      <c r="AM5" s="365">
        <v>45.069933831448054</v>
      </c>
      <c r="AN5" s="425">
        <v>54.249703028247822</v>
      </c>
    </row>
    <row r="6" spans="1:40" ht="15" customHeight="1">
      <c r="A6" s="305">
        <v>4</v>
      </c>
      <c r="B6" s="307">
        <v>43</v>
      </c>
      <c r="C6" s="307">
        <v>47.519856613253388</v>
      </c>
      <c r="D6" s="305">
        <v>1</v>
      </c>
      <c r="E6" s="299">
        <v>-1.2210000000000001</v>
      </c>
      <c r="F6" s="299">
        <v>0.20799999999999999</v>
      </c>
      <c r="G6" s="299">
        <v>0.76200000000000001</v>
      </c>
      <c r="H6" s="299">
        <v>-1.22</v>
      </c>
      <c r="I6" s="304">
        <f t="shared" si="0"/>
        <v>-0.7134176930960936</v>
      </c>
      <c r="J6" s="305">
        <f t="shared" si="1"/>
        <v>1</v>
      </c>
      <c r="K6" s="299">
        <f t="shared" si="2"/>
        <v>-1.2210000000000001</v>
      </c>
      <c r="L6" s="299">
        <f t="shared" si="3"/>
        <v>0.20799999999999999</v>
      </c>
      <c r="M6" s="427">
        <f t="shared" si="4"/>
        <v>0.76200000000000001</v>
      </c>
      <c r="N6" s="352">
        <v>1.9324175393417231E-4</v>
      </c>
      <c r="O6" s="355">
        <v>-8.2200420183480922</v>
      </c>
      <c r="P6" s="355">
        <v>0.28509174625619366</v>
      </c>
      <c r="Q6" s="355">
        <v>0.51396704738507426</v>
      </c>
      <c r="R6" s="355">
        <v>8.3573067064106024</v>
      </c>
      <c r="S6" s="352">
        <v>8.962009258030712E-2</v>
      </c>
      <c r="T6" s="270">
        <v>-572.54149999999993</v>
      </c>
      <c r="U6" s="385">
        <v>-5.2552768883297782E-2</v>
      </c>
      <c r="V6" s="384">
        <v>-1.9313414916659797E-3</v>
      </c>
      <c r="W6" s="384">
        <v>3.4693894730953898E-2</v>
      </c>
      <c r="X6" s="383">
        <v>7.4663681617073596E-2</v>
      </c>
      <c r="Y6" s="412">
        <v>2.8919942290128471E-6</v>
      </c>
      <c r="Z6" s="346">
        <v>-6.8803481180767898</v>
      </c>
      <c r="AA6" s="339">
        <v>1.1137587115445295E-2</v>
      </c>
      <c r="AB6" s="346">
        <v>66.720747040887318</v>
      </c>
      <c r="AC6" s="339">
        <v>-7.9058471208560936</v>
      </c>
      <c r="AD6" s="411">
        <v>4</v>
      </c>
      <c r="AE6" s="385">
        <v>-2.24897724270261E-2</v>
      </c>
      <c r="AF6" s="384">
        <v>0.95484538751176173</v>
      </c>
      <c r="AG6" s="384">
        <v>0.44352216571244241</v>
      </c>
      <c r="AH6" s="384">
        <v>2.1557675503859786E-2</v>
      </c>
      <c r="AI6" s="383">
        <v>-0.74937818187674976</v>
      </c>
      <c r="AJ6" s="426">
        <v>43.790537175127959</v>
      </c>
      <c r="AK6" s="365">
        <v>47.717981435564958</v>
      </c>
      <c r="AL6" s="365">
        <v>33.15621818236815</v>
      </c>
      <c r="AM6" s="365">
        <v>43.638907410958602</v>
      </c>
      <c r="AN6" s="425">
        <v>51.630108432399034</v>
      </c>
    </row>
    <row r="7" spans="1:40" ht="15" customHeight="1">
      <c r="A7" s="305">
        <v>5</v>
      </c>
      <c r="B7" s="307">
        <v>39.299999999999997</v>
      </c>
      <c r="C7" s="307">
        <v>40.951838915093312</v>
      </c>
      <c r="D7" s="305">
        <v>1</v>
      </c>
      <c r="E7" s="299">
        <v>-1.2210000000000001</v>
      </c>
      <c r="F7" s="299">
        <v>-0.89200000000000002</v>
      </c>
      <c r="G7" s="299">
        <v>0.71199999999999997</v>
      </c>
      <c r="H7" s="299">
        <v>-1.22</v>
      </c>
      <c r="I7" s="304">
        <f t="shared" si="0"/>
        <v>-0.1308198609598018</v>
      </c>
      <c r="J7" s="305">
        <f t="shared" si="1"/>
        <v>1</v>
      </c>
      <c r="K7" s="299">
        <f t="shared" si="2"/>
        <v>-1.2210000000000001</v>
      </c>
      <c r="L7" s="299">
        <f t="shared" si="3"/>
        <v>-0.89200000000000002</v>
      </c>
      <c r="M7" s="427">
        <f t="shared" si="4"/>
        <v>0.71199999999999997</v>
      </c>
      <c r="N7" s="352">
        <v>3.8689352990822056E-3</v>
      </c>
      <c r="O7" s="355">
        <v>-153.78213790520704</v>
      </c>
      <c r="P7" s="355">
        <v>4.5603799383070154</v>
      </c>
      <c r="Q7" s="355">
        <v>8.3573067064105846</v>
      </c>
      <c r="R7" s="355">
        <v>156.12808325904069</v>
      </c>
      <c r="S7" s="352">
        <v>1.747455852449628</v>
      </c>
      <c r="T7" s="270">
        <v>114.40630000000017</v>
      </c>
      <c r="U7" s="431">
        <v>-1.0502845696308537E-5</v>
      </c>
      <c r="V7" s="418">
        <v>-1.3504547923603616E-5</v>
      </c>
      <c r="W7" s="418">
        <v>1.0854471329824658E-6</v>
      </c>
      <c r="X7" s="417">
        <v>2.8919942290128454E-6</v>
      </c>
      <c r="Y7" s="430">
        <v>3.5714288685649354E-2</v>
      </c>
      <c r="Z7" s="416">
        <v>-1.000000000005663E-3</v>
      </c>
      <c r="AA7" s="415">
        <v>2.5151489663470589E-5</v>
      </c>
      <c r="AB7" s="416">
        <v>1391.8000000000002</v>
      </c>
      <c r="AC7" s="415">
        <v>49.711605387595931</v>
      </c>
      <c r="AD7" s="411">
        <v>5</v>
      </c>
      <c r="AE7" s="385">
        <v>6.5505437729054261E-3</v>
      </c>
      <c r="AF7" s="384">
        <v>-0.21147836221145211</v>
      </c>
      <c r="AG7" s="384">
        <v>-0.11504827777912285</v>
      </c>
      <c r="AH7" s="384">
        <v>-6.7281984009652795E-3</v>
      </c>
      <c r="AI7" s="383">
        <v>-0.18879041218248271</v>
      </c>
      <c r="AJ7" s="426">
        <v>48.462131798775843</v>
      </c>
      <c r="AK7" s="365">
        <v>47.494807675963834</v>
      </c>
      <c r="AL7" s="365">
        <v>51.176125779893248</v>
      </c>
      <c r="AM7" s="365">
        <v>48.538556414516187</v>
      </c>
      <c r="AN7" s="425">
        <v>49.678440411729945</v>
      </c>
    </row>
    <row r="8" spans="1:40" ht="15" customHeight="1">
      <c r="A8" s="305">
        <v>6</v>
      </c>
      <c r="B8" s="307">
        <v>33.1</v>
      </c>
      <c r="C8" s="307">
        <v>33.550979908370124</v>
      </c>
      <c r="D8" s="305">
        <v>1</v>
      </c>
      <c r="E8" s="299">
        <v>-1.2210000000000001</v>
      </c>
      <c r="F8" s="299">
        <v>-1.167</v>
      </c>
      <c r="G8" s="299">
        <v>0.81899999999999995</v>
      </c>
      <c r="H8" s="299">
        <v>-1.22</v>
      </c>
      <c r="I8" s="304">
        <f t="shared" si="0"/>
        <v>0.30761907777142072</v>
      </c>
      <c r="J8" s="305">
        <f t="shared" si="1"/>
        <v>1</v>
      </c>
      <c r="K8" s="299">
        <f t="shared" si="2"/>
        <v>-1.2210000000000001</v>
      </c>
      <c r="L8" s="299">
        <f t="shared" si="3"/>
        <v>-1.167</v>
      </c>
      <c r="M8" s="427">
        <f t="shared" si="4"/>
        <v>0.81899999999999995</v>
      </c>
      <c r="N8" s="354">
        <v>4.533967005789599E-5</v>
      </c>
      <c r="O8" s="353">
        <v>-1.687680387795603</v>
      </c>
      <c r="P8" s="353">
        <v>-2.2035782476064404E-3</v>
      </c>
      <c r="Q8" s="353">
        <v>8.9620092580307675E-2</v>
      </c>
      <c r="R8" s="353">
        <v>1.7474558524496415</v>
      </c>
      <c r="S8" s="352">
        <v>9.3460368959175741E-2</v>
      </c>
      <c r="T8" s="287">
        <v>66.720747040887318</v>
      </c>
      <c r="U8" s="587" t="s">
        <v>166</v>
      </c>
      <c r="V8" s="593"/>
      <c r="W8" s="593"/>
      <c r="X8" s="593"/>
      <c r="Y8" s="594"/>
      <c r="Z8" s="587" t="s">
        <v>149</v>
      </c>
      <c r="AA8" s="588"/>
      <c r="AB8" s="588"/>
      <c r="AC8" s="589"/>
      <c r="AD8" s="411">
        <v>6</v>
      </c>
      <c r="AE8" s="385">
        <v>4.0671495821995585E-3</v>
      </c>
      <c r="AF8" s="384">
        <v>-0.36039602518050828</v>
      </c>
      <c r="AG8" s="384">
        <v>-8.413738142793048E-2</v>
      </c>
      <c r="AH8" s="384">
        <v>-4.1259758187208728E-3</v>
      </c>
      <c r="AI8" s="383">
        <v>0.35873576895667414</v>
      </c>
      <c r="AJ8" s="426">
        <v>49.5087572073381</v>
      </c>
      <c r="AK8" s="365">
        <v>48.300979523320578</v>
      </c>
      <c r="AL8" s="365">
        <v>51.538489832826329</v>
      </c>
      <c r="AM8" s="365">
        <v>49.552510930344468</v>
      </c>
      <c r="AN8" s="425">
        <v>46.171911461415121</v>
      </c>
    </row>
    <row r="9" spans="1:40" ht="15" customHeight="1">
      <c r="A9" s="305">
        <v>7</v>
      </c>
      <c r="B9" s="307">
        <v>33.700000000000003</v>
      </c>
      <c r="C9" s="307">
        <v>35.273438861721132</v>
      </c>
      <c r="D9" s="305">
        <v>1</v>
      </c>
      <c r="E9" s="299">
        <v>-1.2210000000000001</v>
      </c>
      <c r="F9" s="299">
        <v>-1.246</v>
      </c>
      <c r="G9" s="299">
        <v>0.70099999999999996</v>
      </c>
      <c r="H9" s="299">
        <v>-1.22</v>
      </c>
      <c r="I9" s="304">
        <f t="shared" si="0"/>
        <v>0.45522524064574932</v>
      </c>
      <c r="J9" s="305">
        <f t="shared" si="1"/>
        <v>1</v>
      </c>
      <c r="K9" s="299">
        <f t="shared" si="2"/>
        <v>-1.2210000000000001</v>
      </c>
      <c r="L9" s="299">
        <f t="shared" si="3"/>
        <v>-1.246</v>
      </c>
      <c r="M9" s="427">
        <f t="shared" si="4"/>
        <v>0.70099999999999996</v>
      </c>
      <c r="N9" s="442" t="s">
        <v>27</v>
      </c>
      <c r="O9" s="329" t="s">
        <v>30</v>
      </c>
      <c r="P9" s="333" t="s">
        <v>31</v>
      </c>
      <c r="Q9" s="333" t="s">
        <v>32</v>
      </c>
      <c r="R9" s="350" t="s">
        <v>3</v>
      </c>
      <c r="S9" s="349" t="s">
        <v>33</v>
      </c>
      <c r="T9" s="336" t="s">
        <v>165</v>
      </c>
      <c r="U9" s="424">
        <v>3</v>
      </c>
      <c r="V9" s="361">
        <v>4</v>
      </c>
      <c r="W9" s="361">
        <v>22</v>
      </c>
      <c r="X9" s="334">
        <v>0</v>
      </c>
      <c r="Y9" s="360">
        <v>1</v>
      </c>
      <c r="Z9" s="424" t="s">
        <v>164</v>
      </c>
      <c r="AA9" s="360" t="s">
        <v>163</v>
      </c>
      <c r="AB9" s="424" t="s">
        <v>162</v>
      </c>
      <c r="AC9" s="360" t="s">
        <v>161</v>
      </c>
      <c r="AD9" s="411">
        <v>7</v>
      </c>
      <c r="AE9" s="385">
        <v>1.1181143721266551E-2</v>
      </c>
      <c r="AF9" s="384">
        <v>-0.58437621348578395</v>
      </c>
      <c r="AG9" s="384">
        <v>-0.22021980523175866</v>
      </c>
      <c r="AH9" s="384">
        <v>-1.1097796202273136E-2</v>
      </c>
      <c r="AI9" s="383">
        <v>0.39505317533723905</v>
      </c>
      <c r="AJ9" s="426">
        <v>48.828119740672804</v>
      </c>
      <c r="AK9" s="365">
        <v>46.584889817820958</v>
      </c>
      <c r="AL9" s="365">
        <v>54.107429031202756</v>
      </c>
      <c r="AM9" s="365">
        <v>48.930802584681686</v>
      </c>
      <c r="AN9" s="425">
        <v>44.737211509704899</v>
      </c>
    </row>
    <row r="10" spans="1:40" ht="15" customHeight="1">
      <c r="A10" s="305">
        <v>8</v>
      </c>
      <c r="B10" s="307">
        <v>32.200000000000003</v>
      </c>
      <c r="C10" s="307">
        <v>33.550979908370124</v>
      </c>
      <c r="D10" s="305">
        <v>1</v>
      </c>
      <c r="E10" s="299">
        <v>-1.2210000000000001</v>
      </c>
      <c r="F10" s="299">
        <v>-1.167</v>
      </c>
      <c r="G10" s="299">
        <v>0.81899999999999995</v>
      </c>
      <c r="H10" s="299">
        <v>-1.22</v>
      </c>
      <c r="I10" s="304">
        <f t="shared" si="0"/>
        <v>0.30761907777142072</v>
      </c>
      <c r="J10" s="305">
        <f t="shared" si="1"/>
        <v>1</v>
      </c>
      <c r="K10" s="299">
        <f t="shared" si="2"/>
        <v>-1.2210000000000001</v>
      </c>
      <c r="L10" s="299">
        <f t="shared" si="3"/>
        <v>-1.167</v>
      </c>
      <c r="M10" s="427">
        <f t="shared" si="4"/>
        <v>0.81899999999999995</v>
      </c>
      <c r="N10" s="348" t="s">
        <v>5</v>
      </c>
      <c r="O10" s="345">
        <f>SUMSQ(y_hat)-28*y_bar^2</f>
        <v>13639.343206155376</v>
      </c>
      <c r="P10" s="245">
        <f>6-1</f>
        <v>5</v>
      </c>
      <c r="Q10" s="245">
        <f>O10/P10</f>
        <v>2727.8686412310753</v>
      </c>
      <c r="R10" s="346">
        <f>Q10/Q11</f>
        <v>88.727522006725962</v>
      </c>
      <c r="S10" s="339">
        <f>FDIST(R10,P10,P11)</f>
        <v>7.899909053972802E-14</v>
      </c>
      <c r="T10" s="287">
        <f>_xlfn.T.INV.2T(0.05/2,P11)</f>
        <v>2.4054727462619341</v>
      </c>
      <c r="U10" s="429">
        <f t="array" ref="U10:Y14">MINVERSE(MMULT(TRANSPOSE(X_not_2),X_not_2))</f>
        <v>0.16704458516252182</v>
      </c>
      <c r="V10" s="355">
        <v>2.8078712785391464</v>
      </c>
      <c r="W10" s="355">
        <v>9.2301583017664598E-2</v>
      </c>
      <c r="X10" s="412">
        <v>6.7661720066402949E-5</v>
      </c>
      <c r="Y10" s="352">
        <v>-2.7189468842424529</v>
      </c>
      <c r="Z10" s="346">
        <f t="array" ref="Z10:Z14">MMULT(TRANSPOSE(X_not_2),x_2)</f>
        <v>-17.183702000000004</v>
      </c>
      <c r="AA10" s="339">
        <f t="array" ref="AA10:AA14">MMULT(U10:Y14,Z10:Z14)</f>
        <v>-1.2168800632717485</v>
      </c>
      <c r="AB10" s="346">
        <f t="array" ref="AB10:AB14">MMULT(TRANSPOSE(X_not_2),y)</f>
        <v>-572.54149999999993</v>
      </c>
      <c r="AC10" s="339">
        <f t="array" ref="AC10:AC14">MMULT(U10:Y14,AB10:AB14)</f>
        <v>-30.351377919208687</v>
      </c>
      <c r="AD10" s="411">
        <v>8</v>
      </c>
      <c r="AE10" s="385">
        <v>4.0671495821995585E-3</v>
      </c>
      <c r="AF10" s="384">
        <v>-0.36039602518050828</v>
      </c>
      <c r="AG10" s="384">
        <v>-8.413738142793048E-2</v>
      </c>
      <c r="AH10" s="384">
        <v>-4.1259758187208728E-3</v>
      </c>
      <c r="AI10" s="383">
        <v>0.35873576895667414</v>
      </c>
      <c r="AJ10" s="426">
        <v>48.608757207338101</v>
      </c>
      <c r="AK10" s="365">
        <v>47.400979523320579</v>
      </c>
      <c r="AL10" s="365">
        <v>50.63848983282633</v>
      </c>
      <c r="AM10" s="365">
        <v>48.652510930344469</v>
      </c>
      <c r="AN10" s="425">
        <v>45.271911461415122</v>
      </c>
    </row>
    <row r="11" spans="1:40" ht="15" customHeight="1">
      <c r="A11" s="305">
        <v>9</v>
      </c>
      <c r="B11" s="307">
        <v>31.9</v>
      </c>
      <c r="C11" s="307">
        <v>32.750702871909994</v>
      </c>
      <c r="D11" s="305">
        <v>1</v>
      </c>
      <c r="E11" s="299">
        <v>-1.2210000000000001</v>
      </c>
      <c r="F11" s="299">
        <v>-1.246</v>
      </c>
      <c r="G11" s="299">
        <v>0.79400000000000004</v>
      </c>
      <c r="H11" s="299">
        <v>-1.22</v>
      </c>
      <c r="I11" s="304">
        <f t="shared" si="0"/>
        <v>0.45522524064574932</v>
      </c>
      <c r="J11" s="305">
        <f t="shared" si="1"/>
        <v>1</v>
      </c>
      <c r="K11" s="299">
        <f t="shared" si="2"/>
        <v>-1.2210000000000001</v>
      </c>
      <c r="L11" s="299">
        <f t="shared" si="3"/>
        <v>-1.246</v>
      </c>
      <c r="M11" s="427">
        <f t="shared" si="4"/>
        <v>0.79400000000000004</v>
      </c>
      <c r="N11" s="342" t="s">
        <v>6</v>
      </c>
      <c r="O11" s="345">
        <f>SUMSQ(y)-SUMSQ(y_hat)</f>
        <v>676.37536527318298</v>
      </c>
      <c r="P11" s="245">
        <f>28-6</f>
        <v>22</v>
      </c>
      <c r="Q11" s="245">
        <f>O11/P11</f>
        <v>30.74433478514468</v>
      </c>
      <c r="R11" s="294" t="s">
        <v>111</v>
      </c>
      <c r="S11" s="344">
        <f>SQRT(Q11)</f>
        <v>5.5447574144541871</v>
      </c>
      <c r="U11" s="429">
        <v>2.8078712785391486</v>
      </c>
      <c r="V11" s="355">
        <v>67.358294843439907</v>
      </c>
      <c r="W11" s="355">
        <v>1.7903494660173274</v>
      </c>
      <c r="X11" s="412">
        <v>1.8601340109948145E-3</v>
      </c>
      <c r="Y11" s="352">
        <v>-65.785609707751661</v>
      </c>
      <c r="Z11" s="346">
        <v>8.0445540000000015</v>
      </c>
      <c r="AA11" s="339">
        <v>-19.46543700666416</v>
      </c>
      <c r="AB11" s="346">
        <v>114.40630000000017</v>
      </c>
      <c r="AC11" s="339">
        <v>-123.41558721021374</v>
      </c>
      <c r="AD11" s="411">
        <v>9</v>
      </c>
      <c r="AE11" s="385">
        <v>6.1361817543772457E-3</v>
      </c>
      <c r="AF11" s="384">
        <v>-0.47120636760151191</v>
      </c>
      <c r="AG11" s="384">
        <v>-0.12721980523175858</v>
      </c>
      <c r="AH11" s="384">
        <v>-6.1196429612149217E-3</v>
      </c>
      <c r="AI11" s="383">
        <v>0.48423181546874994</v>
      </c>
      <c r="AJ11" s="426">
        <v>49.237533488026202</v>
      </c>
      <c r="AK11" s="365">
        <v>47.60756796430735</v>
      </c>
      <c r="AL11" s="365">
        <v>52.307429031202744</v>
      </c>
      <c r="AM11" s="365">
        <v>49.295982997400529</v>
      </c>
      <c r="AN11" s="425">
        <v>44.69322899172397</v>
      </c>
    </row>
    <row r="12" spans="1:40" ht="15" customHeight="1">
      <c r="A12" s="283">
        <v>10</v>
      </c>
      <c r="B12" s="303">
        <v>30.6</v>
      </c>
      <c r="C12" s="303">
        <v>29.069914928396063</v>
      </c>
      <c r="D12" s="283">
        <v>1</v>
      </c>
      <c r="E12" s="282">
        <v>-1.2210000000000001</v>
      </c>
      <c r="F12" s="282">
        <v>-1.089</v>
      </c>
      <c r="G12" s="282">
        <v>1.0349999999999999</v>
      </c>
      <c r="H12" s="282">
        <v>-1.22</v>
      </c>
      <c r="I12" s="281">
        <f t="shared" si="0"/>
        <v>0.17136366133686592</v>
      </c>
      <c r="J12" s="283">
        <f t="shared" si="1"/>
        <v>1</v>
      </c>
      <c r="K12" s="282">
        <f t="shared" si="2"/>
        <v>-1.2210000000000001</v>
      </c>
      <c r="L12" s="282">
        <f t="shared" si="3"/>
        <v>-1.089</v>
      </c>
      <c r="M12" s="414">
        <f t="shared" si="4"/>
        <v>1.0349999999999999</v>
      </c>
      <c r="N12" s="342" t="s">
        <v>7</v>
      </c>
      <c r="O12" s="341">
        <f>SUMSQ(y)-28*y_bar^2</f>
        <v>14315.718571428559</v>
      </c>
      <c r="P12" s="340">
        <f>28-1</f>
        <v>27</v>
      </c>
      <c r="Q12" s="340"/>
      <c r="R12" s="302" t="s">
        <v>110</v>
      </c>
      <c r="S12" s="339">
        <f>O10/O12</f>
        <v>0.95275295739446153</v>
      </c>
      <c r="U12" s="429">
        <v>9.2301583017664654E-2</v>
      </c>
      <c r="V12" s="355">
        <v>1.7903494660173271</v>
      </c>
      <c r="W12" s="355">
        <v>9.3439642740057588E-2</v>
      </c>
      <c r="X12" s="412">
        <v>4.6310324012616713E-5</v>
      </c>
      <c r="Y12" s="352">
        <v>-1.730200361574618</v>
      </c>
      <c r="Z12" s="346">
        <v>14.828102057085067</v>
      </c>
      <c r="AA12" s="339">
        <v>9.4057105216656112E-3</v>
      </c>
      <c r="AB12" s="346">
        <v>66.720747040887318</v>
      </c>
      <c r="AC12" s="339">
        <v>-8.5726291119994187</v>
      </c>
      <c r="AD12" s="411">
        <v>10</v>
      </c>
      <c r="AE12" s="382">
        <v>-8.4596275970720836E-3</v>
      </c>
      <c r="AF12" s="381">
        <v>-1.8268352509815511E-2</v>
      </c>
      <c r="AG12" s="381">
        <v>0.15136957572732113</v>
      </c>
      <c r="AH12" s="381">
        <v>8.1894738989696236E-3</v>
      </c>
      <c r="AI12" s="380">
        <v>0.42776587736755928</v>
      </c>
      <c r="AJ12" s="423">
        <v>50.711834574652691</v>
      </c>
      <c r="AK12" s="422">
        <v>51.188810004275197</v>
      </c>
      <c r="AL12" s="422">
        <v>47.131147536816968</v>
      </c>
      <c r="AM12" s="422">
        <v>50.649019425668413</v>
      </c>
      <c r="AN12" s="421">
        <v>47.559486098460965</v>
      </c>
    </row>
    <row r="13" spans="1:40" ht="15" customHeight="1">
      <c r="A13" s="291">
        <v>11</v>
      </c>
      <c r="B13" s="309">
        <v>26.2</v>
      </c>
      <c r="C13" s="309">
        <v>20.028518149098968</v>
      </c>
      <c r="D13" s="291">
        <v>1</v>
      </c>
      <c r="E13" s="290">
        <v>-1.2210000000000001</v>
      </c>
      <c r="F13" s="290">
        <v>-1.246</v>
      </c>
      <c r="G13" s="290">
        <v>1.2629999999999999</v>
      </c>
      <c r="H13" s="290">
        <v>-1.22</v>
      </c>
      <c r="I13" s="289">
        <f t="shared" si="0"/>
        <v>0.45522524064574932</v>
      </c>
      <c r="J13" s="291">
        <f t="shared" si="1"/>
        <v>1</v>
      </c>
      <c r="K13" s="290">
        <f t="shared" si="2"/>
        <v>-1.2210000000000001</v>
      </c>
      <c r="L13" s="290">
        <f t="shared" si="3"/>
        <v>-1.246</v>
      </c>
      <c r="M13" s="420">
        <f t="shared" si="4"/>
        <v>1.2629999999999999</v>
      </c>
      <c r="N13" s="587" t="s">
        <v>108</v>
      </c>
      <c r="O13" s="588"/>
      <c r="P13" s="588"/>
      <c r="Q13" s="588"/>
      <c r="R13" s="588"/>
      <c r="S13" s="588"/>
      <c r="T13" s="602"/>
      <c r="U13" s="431">
        <v>6.7661720066403152E-5</v>
      </c>
      <c r="V13" s="418">
        <v>1.860134010994816E-3</v>
      </c>
      <c r="W13" s="418">
        <v>4.6310324012616768E-5</v>
      </c>
      <c r="X13" s="430">
        <v>3.5714339085403717E-2</v>
      </c>
      <c r="Y13" s="417">
        <v>-1.8199063975962988E-3</v>
      </c>
      <c r="Z13" s="416">
        <v>1.0269562977782698E-15</v>
      </c>
      <c r="AA13" s="415">
        <v>-4.4048989673265392E-4</v>
      </c>
      <c r="AB13" s="416">
        <v>1391.8000000000002</v>
      </c>
      <c r="AC13" s="415">
        <v>49.708875868047926</v>
      </c>
      <c r="AD13" s="411">
        <v>11</v>
      </c>
      <c r="AE13" s="388">
        <v>-1.9305615691547429E-2</v>
      </c>
      <c r="AF13" s="387">
        <v>9.951038207293772E-2</v>
      </c>
      <c r="AG13" s="387">
        <v>0.34178019476824129</v>
      </c>
      <c r="AH13" s="387">
        <v>1.8985237361970775E-2</v>
      </c>
      <c r="AI13" s="386">
        <v>0.9339606565620644</v>
      </c>
      <c r="AJ13" s="434">
        <v>54.679630773066421</v>
      </c>
      <c r="AK13" s="433">
        <v>56.142364208416225</v>
      </c>
      <c r="AL13" s="433">
        <v>46.607429031202749</v>
      </c>
      <c r="AM13" s="433">
        <v>54.515011100251499</v>
      </c>
      <c r="AN13" s="432">
        <v>47.848844035454547</v>
      </c>
    </row>
    <row r="14" spans="1:40" ht="15" customHeight="1">
      <c r="A14" s="305">
        <v>12</v>
      </c>
      <c r="B14" s="307">
        <v>28.2</v>
      </c>
      <c r="C14" s="307">
        <v>28.000784265904958</v>
      </c>
      <c r="D14" s="305">
        <v>1</v>
      </c>
      <c r="E14" s="299">
        <v>0.79</v>
      </c>
      <c r="F14" s="299">
        <v>-0.224</v>
      </c>
      <c r="G14" s="299">
        <v>0.83099999999999996</v>
      </c>
      <c r="H14" s="299">
        <v>0.748</v>
      </c>
      <c r="I14" s="304">
        <f t="shared" si="0"/>
        <v>-0.70806559817886061</v>
      </c>
      <c r="J14" s="305">
        <f t="shared" si="1"/>
        <v>1</v>
      </c>
      <c r="K14" s="299">
        <f t="shared" si="2"/>
        <v>0.79</v>
      </c>
      <c r="L14" s="299">
        <f t="shared" si="3"/>
        <v>-0.224</v>
      </c>
      <c r="M14" s="427">
        <f t="shared" si="4"/>
        <v>0.83099999999999996</v>
      </c>
      <c r="N14" s="333" t="s">
        <v>106</v>
      </c>
      <c r="O14" s="334" t="s">
        <v>86</v>
      </c>
      <c r="P14" s="333" t="s">
        <v>44</v>
      </c>
      <c r="Q14" s="332" t="s">
        <v>43</v>
      </c>
      <c r="R14" s="332" t="s">
        <v>33</v>
      </c>
      <c r="S14" s="333" t="s">
        <v>102</v>
      </c>
      <c r="T14" s="330" t="s">
        <v>101</v>
      </c>
      <c r="U14" s="428">
        <v>-2.7189468842424529</v>
      </c>
      <c r="V14" s="353">
        <v>-65.785609707751661</v>
      </c>
      <c r="W14" s="353">
        <v>-1.7302003615746184</v>
      </c>
      <c r="X14" s="410">
        <v>-1.8199063975962975E-3</v>
      </c>
      <c r="Y14" s="354">
        <v>64.300158977314354</v>
      </c>
      <c r="Z14" s="286">
        <v>8.202868999999998</v>
      </c>
      <c r="AA14" s="393">
        <v>19.295876525167841</v>
      </c>
      <c r="AB14" s="286">
        <v>96.435200000000037</v>
      </c>
      <c r="AC14" s="393">
        <v>113.24721224680161</v>
      </c>
      <c r="AD14" s="411">
        <v>12</v>
      </c>
      <c r="AE14" s="385">
        <v>3.4803921916637393E-4</v>
      </c>
      <c r="AF14" s="384">
        <v>0.11073210862457314</v>
      </c>
      <c r="AG14" s="384">
        <v>0.11170876557182441</v>
      </c>
      <c r="AH14" s="384">
        <v>-9.0504785343448191E-5</v>
      </c>
      <c r="AI14" s="383">
        <v>-0.18546216798157111</v>
      </c>
      <c r="AJ14" s="426">
        <v>49.927973903567725</v>
      </c>
      <c r="AK14" s="365">
        <v>50.199839838070588</v>
      </c>
      <c r="AL14" s="365">
        <v>46.876125007522276</v>
      </c>
      <c r="AM14" s="365">
        <v>49.91285909236359</v>
      </c>
      <c r="AN14" s="425">
        <v>51.500880289225833</v>
      </c>
    </row>
    <row r="15" spans="1:40" ht="15" customHeight="1">
      <c r="A15" s="305">
        <v>13</v>
      </c>
      <c r="B15" s="307">
        <v>29.3</v>
      </c>
      <c r="C15" s="307">
        <v>28.000784265904958</v>
      </c>
      <c r="D15" s="305">
        <v>1</v>
      </c>
      <c r="E15" s="299">
        <v>0.79</v>
      </c>
      <c r="F15" s="299">
        <v>-0.224</v>
      </c>
      <c r="G15" s="299">
        <v>0.83099999999999996</v>
      </c>
      <c r="H15" s="299">
        <v>0.748</v>
      </c>
      <c r="I15" s="304">
        <f t="shared" si="0"/>
        <v>-0.70806559817886061</v>
      </c>
      <c r="J15" s="305">
        <f t="shared" si="1"/>
        <v>1</v>
      </c>
      <c r="K15" s="299">
        <f t="shared" si="2"/>
        <v>0.79</v>
      </c>
      <c r="L15" s="299">
        <f t="shared" si="3"/>
        <v>-0.224</v>
      </c>
      <c r="M15" s="427">
        <f t="shared" si="4"/>
        <v>0.83099999999999996</v>
      </c>
      <c r="N15" s="329">
        <v>0</v>
      </c>
      <c r="O15" s="337">
        <f t="array" ref="O15:O20">MMULT(N3:S8,T3:T8)</f>
        <v>49.710043330003778</v>
      </c>
      <c r="P15" s="312">
        <f t="array" ref="P15:P20">[1]!DIAG(N3:S8)*s</f>
        <v>0.19802759849880464</v>
      </c>
      <c r="Q15" s="312">
        <f t="shared" ref="Q15:Q20" si="5">O15/P15</f>
        <v>251.02583532216013</v>
      </c>
      <c r="R15" s="311" t="str">
        <f t="shared" ref="R15:R20" si="6">IF(TDIST(ABS(Q15),DFR,2)&lt;0.0001,"&lt; 0.0001",TDIST(ABS(Q15),DFR,2))</f>
        <v>&lt; 0.0001</v>
      </c>
      <c r="S15" s="310" t="str">
        <f t="shared" ref="S15:S20" si="7">IF(TDIST(ABS(Q15),DFR,2)&lt;=0.05,"*","")</f>
        <v>*</v>
      </c>
      <c r="T15" s="327" t="s">
        <v>100</v>
      </c>
      <c r="U15" s="587" t="s">
        <v>160</v>
      </c>
      <c r="V15" s="593"/>
      <c r="W15" s="593"/>
      <c r="X15" s="593"/>
      <c r="Y15" s="594"/>
      <c r="Z15" s="587" t="s">
        <v>149</v>
      </c>
      <c r="AA15" s="588"/>
      <c r="AB15" s="588"/>
      <c r="AC15" s="589"/>
      <c r="AD15" s="411">
        <v>13</v>
      </c>
      <c r="AE15" s="385">
        <v>3.4803921916637393E-4</v>
      </c>
      <c r="AF15" s="384">
        <v>0.11073210862457314</v>
      </c>
      <c r="AG15" s="384">
        <v>0.11170876557182441</v>
      </c>
      <c r="AH15" s="384">
        <v>-9.0504785343448191E-5</v>
      </c>
      <c r="AI15" s="383">
        <v>-0.18546216798157111</v>
      </c>
      <c r="AJ15" s="426">
        <v>51.027973903567727</v>
      </c>
      <c r="AK15" s="365">
        <v>51.299839838070596</v>
      </c>
      <c r="AL15" s="365">
        <v>47.976125007522285</v>
      </c>
      <c r="AM15" s="365">
        <v>51.012859092363584</v>
      </c>
      <c r="AN15" s="425">
        <v>52.600880289225827</v>
      </c>
    </row>
    <row r="16" spans="1:40" ht="15" customHeight="1">
      <c r="A16" s="305">
        <v>14</v>
      </c>
      <c r="B16" s="307">
        <v>30.4</v>
      </c>
      <c r="C16" s="307">
        <v>28.000784265904958</v>
      </c>
      <c r="D16" s="305">
        <v>1</v>
      </c>
      <c r="E16" s="299">
        <v>0.79</v>
      </c>
      <c r="F16" s="299">
        <v>-0.224</v>
      </c>
      <c r="G16" s="299">
        <v>0.83099999999999996</v>
      </c>
      <c r="H16" s="299">
        <v>0.748</v>
      </c>
      <c r="I16" s="304">
        <f t="shared" si="0"/>
        <v>-0.70806559817886061</v>
      </c>
      <c r="J16" s="305">
        <f t="shared" si="1"/>
        <v>1</v>
      </c>
      <c r="K16" s="299">
        <f t="shared" si="2"/>
        <v>0.79</v>
      </c>
      <c r="L16" s="299">
        <f t="shared" si="3"/>
        <v>-0.224</v>
      </c>
      <c r="M16" s="427">
        <f t="shared" si="4"/>
        <v>0.83099999999999996</v>
      </c>
      <c r="N16" s="437" t="s">
        <v>99</v>
      </c>
      <c r="O16" s="270">
        <v>62.105967203348612</v>
      </c>
      <c r="P16" s="245">
        <v>840.19799319740991</v>
      </c>
      <c r="Q16" s="245">
        <f t="shared" si="5"/>
        <v>7.3918252252664476E-2</v>
      </c>
      <c r="R16" s="318">
        <f t="shared" si="6"/>
        <v>0.94174341772481285</v>
      </c>
      <c r="S16" s="317" t="str">
        <f t="shared" si="7"/>
        <v/>
      </c>
      <c r="T16" s="307">
        <f t="array" ref="T16">[1]!VIF(E$3:I$30,1)</f>
        <v>4092.6707342494806</v>
      </c>
      <c r="U16" s="424">
        <v>4</v>
      </c>
      <c r="V16" s="361">
        <v>22</v>
      </c>
      <c r="W16" s="334">
        <v>0</v>
      </c>
      <c r="X16" s="361">
        <v>1</v>
      </c>
      <c r="Y16" s="360">
        <v>2</v>
      </c>
      <c r="Z16" s="424" t="s">
        <v>159</v>
      </c>
      <c r="AA16" s="360" t="s">
        <v>158</v>
      </c>
      <c r="AB16" s="424" t="s">
        <v>157</v>
      </c>
      <c r="AC16" s="360" t="s">
        <v>156</v>
      </c>
      <c r="AD16" s="411">
        <v>14</v>
      </c>
      <c r="AE16" s="385">
        <v>3.4803921916637393E-4</v>
      </c>
      <c r="AF16" s="384">
        <v>0.11073210862457314</v>
      </c>
      <c r="AG16" s="384">
        <v>0.11170876557182441</v>
      </c>
      <c r="AH16" s="384">
        <v>-9.0504785343448191E-5</v>
      </c>
      <c r="AI16" s="383">
        <v>-0.18546216798157111</v>
      </c>
      <c r="AJ16" s="426">
        <v>52.127973903567721</v>
      </c>
      <c r="AK16" s="365">
        <v>52.399839838070591</v>
      </c>
      <c r="AL16" s="365">
        <v>49.076125007522279</v>
      </c>
      <c r="AM16" s="365">
        <v>52.112859092363585</v>
      </c>
      <c r="AN16" s="425">
        <v>53.700880289225829</v>
      </c>
    </row>
    <row r="17" spans="1:48" ht="15" customHeight="1">
      <c r="A17" s="305">
        <v>15</v>
      </c>
      <c r="B17" s="307">
        <v>29.7</v>
      </c>
      <c r="C17" s="307">
        <v>28.436547345327089</v>
      </c>
      <c r="D17" s="305">
        <v>1</v>
      </c>
      <c r="E17" s="299">
        <v>0.79</v>
      </c>
      <c r="F17" s="299">
        <v>-0.38200000000000001</v>
      </c>
      <c r="G17" s="299">
        <v>0.77600000000000002</v>
      </c>
      <c r="H17" s="299">
        <v>0.748</v>
      </c>
      <c r="I17" s="304">
        <f t="shared" si="0"/>
        <v>-0.63392607501114973</v>
      </c>
      <c r="J17" s="305">
        <f t="shared" si="1"/>
        <v>1</v>
      </c>
      <c r="K17" s="299">
        <f t="shared" si="2"/>
        <v>0.79</v>
      </c>
      <c r="L17" s="299">
        <f t="shared" si="3"/>
        <v>-0.38200000000000001</v>
      </c>
      <c r="M17" s="427">
        <f t="shared" si="4"/>
        <v>0.77600000000000002</v>
      </c>
      <c r="N17" s="437" t="s">
        <v>98</v>
      </c>
      <c r="O17" s="270">
        <v>2.6503716986767971</v>
      </c>
      <c r="P17" s="245">
        <v>1.2990307110492367</v>
      </c>
      <c r="Q17" s="245">
        <f t="shared" si="5"/>
        <v>2.0402686989101837</v>
      </c>
      <c r="R17" s="318">
        <f t="shared" si="6"/>
        <v>5.3506257635115628E-2</v>
      </c>
      <c r="S17" s="317" t="str">
        <f t="shared" si="7"/>
        <v/>
      </c>
      <c r="T17" s="307">
        <f>[1]!VIF(E$3:I$30,2)</f>
        <v>6.327725870478897</v>
      </c>
      <c r="U17" s="441">
        <f t="array" ref="U17:Y21">MINVERSE(MMULT(TRANSPOSE(X_not_3),X_not_3))</f>
        <v>20.234983223996441</v>
      </c>
      <c r="V17" s="439">
        <v>0.2901978345257768</v>
      </c>
      <c r="W17" s="440">
        <v>7.2674823800656903E-4</v>
      </c>
      <c r="X17" s="439">
        <v>-20.121015783794867</v>
      </c>
      <c r="Y17" s="438">
        <v>-7.5324189129193697E-2</v>
      </c>
      <c r="Z17" s="295">
        <f t="array" ref="Z17:Z21">MMULT(TRANSPOSE(X_not_3),x_3)</f>
        <v>-10.910442</v>
      </c>
      <c r="AA17" s="344">
        <f t="array" ref="AA17:AA21">MMULT(U17:Y21,Z17:Z21)</f>
        <v>-16.26039402512221</v>
      </c>
      <c r="AB17" s="295">
        <f t="array" ref="AB17:AB21">MMULT(TRANSPOSE(X_not_3),y)</f>
        <v>114.40630000000017</v>
      </c>
      <c r="AC17" s="344">
        <f t="array" ref="AC17:AC21">MMULT(U17:Y21,AB17:AB21)</f>
        <v>369.25764985167064</v>
      </c>
      <c r="AD17" s="411">
        <v>15</v>
      </c>
      <c r="AE17" s="385">
        <v>7.2195556754719448E-3</v>
      </c>
      <c r="AF17" s="384">
        <v>-0.11489362974850292</v>
      </c>
      <c r="AG17" s="384">
        <v>-1.8004399744316002E-2</v>
      </c>
      <c r="AH17" s="384">
        <v>-6.8198281301043995E-3</v>
      </c>
      <c r="AI17" s="383">
        <v>-0.16033742808307472</v>
      </c>
      <c r="AJ17" s="426">
        <v>51.41897299981818</v>
      </c>
      <c r="AK17" s="365">
        <v>50.666084687171377</v>
      </c>
      <c r="AL17" s="365">
        <v>51.458986342028645</v>
      </c>
      <c r="AM17" s="365">
        <v>51.460429284430958</v>
      </c>
      <c r="AN17" s="425">
        <v>52.349105807799489</v>
      </c>
    </row>
    <row r="18" spans="1:48" ht="15" customHeight="1">
      <c r="A18" s="305">
        <v>16</v>
      </c>
      <c r="B18" s="307">
        <v>29.7</v>
      </c>
      <c r="C18" s="307">
        <v>28.436547345327089</v>
      </c>
      <c r="D18" s="305">
        <v>1</v>
      </c>
      <c r="E18" s="299">
        <v>0.79</v>
      </c>
      <c r="F18" s="299">
        <v>-0.38200000000000001</v>
      </c>
      <c r="G18" s="299">
        <v>0.77600000000000002</v>
      </c>
      <c r="H18" s="299">
        <v>0.748</v>
      </c>
      <c r="I18" s="304">
        <f t="shared" si="0"/>
        <v>-0.63392607501114973</v>
      </c>
      <c r="J18" s="305">
        <f t="shared" si="1"/>
        <v>1</v>
      </c>
      <c r="K18" s="299">
        <f t="shared" si="2"/>
        <v>0.79</v>
      </c>
      <c r="L18" s="299">
        <f t="shared" si="3"/>
        <v>-0.38200000000000001</v>
      </c>
      <c r="M18" s="427">
        <f t="shared" si="4"/>
        <v>0.77600000000000002</v>
      </c>
      <c r="N18" s="437" t="s">
        <v>97</v>
      </c>
      <c r="O18" s="270">
        <v>-27.126193438829468</v>
      </c>
      <c r="P18" s="245">
        <v>2.8498225967735169</v>
      </c>
      <c r="Q18" s="245">
        <f t="shared" si="5"/>
        <v>-9.5185551091990508</v>
      </c>
      <c r="R18" s="318" t="str">
        <f t="shared" si="6"/>
        <v>&lt; 0.0001</v>
      </c>
      <c r="S18" s="317" t="str">
        <f t="shared" si="7"/>
        <v>*</v>
      </c>
      <c r="T18" s="307">
        <f>[1]!VIF(E$3:I$30,3)</f>
        <v>13.877149707943916</v>
      </c>
      <c r="U18" s="429">
        <v>0.29019783452577541</v>
      </c>
      <c r="V18" s="355">
        <v>7.7833372958232797E-2</v>
      </c>
      <c r="W18" s="412">
        <v>1.1644233811403146E-5</v>
      </c>
      <c r="X18" s="355">
        <v>-0.25435712233253588</v>
      </c>
      <c r="Y18" s="352">
        <v>-5.1914836631490956E-2</v>
      </c>
      <c r="Z18" s="346">
        <v>-6.3267579330512289</v>
      </c>
      <c r="AA18" s="339">
        <v>-0.17436933561453316</v>
      </c>
      <c r="AB18" s="346">
        <v>66.720747040887318</v>
      </c>
      <c r="AC18" s="339">
        <v>-3.8675814132922852</v>
      </c>
      <c r="AD18" s="411">
        <v>16</v>
      </c>
      <c r="AE18" s="385">
        <v>7.2195556754719448E-3</v>
      </c>
      <c r="AF18" s="384">
        <v>-0.11489362974850292</v>
      </c>
      <c r="AG18" s="384">
        <v>-1.8004399744316002E-2</v>
      </c>
      <c r="AH18" s="384">
        <v>-6.8198281301043995E-3</v>
      </c>
      <c r="AI18" s="383">
        <v>-0.16033742808307472</v>
      </c>
      <c r="AJ18" s="426">
        <v>51.41897299981818</v>
      </c>
      <c r="AK18" s="365">
        <v>50.666084687171377</v>
      </c>
      <c r="AL18" s="365">
        <v>51.458986342028645</v>
      </c>
      <c r="AM18" s="365">
        <v>51.460429284430958</v>
      </c>
      <c r="AN18" s="425">
        <v>52.349105807799489</v>
      </c>
    </row>
    <row r="19" spans="1:48" ht="15" customHeight="1">
      <c r="A19" s="305">
        <v>17</v>
      </c>
      <c r="B19" s="307">
        <v>30.7</v>
      </c>
      <c r="C19" s="307">
        <v>28.436547345327089</v>
      </c>
      <c r="D19" s="305">
        <v>1</v>
      </c>
      <c r="E19" s="299">
        <v>0.79</v>
      </c>
      <c r="F19" s="299">
        <v>-0.38200000000000001</v>
      </c>
      <c r="G19" s="299">
        <v>0.77600000000000002</v>
      </c>
      <c r="H19" s="299">
        <v>0.748</v>
      </c>
      <c r="I19" s="304">
        <f t="shared" si="0"/>
        <v>-0.63392607501114973</v>
      </c>
      <c r="J19" s="305">
        <f t="shared" si="1"/>
        <v>1</v>
      </c>
      <c r="K19" s="299">
        <f t="shared" si="2"/>
        <v>0.79</v>
      </c>
      <c r="L19" s="299">
        <f t="shared" si="3"/>
        <v>-0.38200000000000001</v>
      </c>
      <c r="M19" s="427">
        <f t="shared" si="4"/>
        <v>0.77600000000000002</v>
      </c>
      <c r="N19" s="437" t="s">
        <v>96</v>
      </c>
      <c r="O19" s="270">
        <v>-71.824943865390665</v>
      </c>
      <c r="P19" s="245">
        <v>865.69234725508647</v>
      </c>
      <c r="Q19" s="245">
        <f t="shared" si="5"/>
        <v>-8.2968209310306629E-2</v>
      </c>
      <c r="R19" s="318">
        <f t="shared" si="6"/>
        <v>0.93462710784154046</v>
      </c>
      <c r="S19" s="317" t="str">
        <f t="shared" si="7"/>
        <v/>
      </c>
      <c r="T19" s="307">
        <f>[1]!VIF(E$3:I$30,4)</f>
        <v>4218.0021766602522</v>
      </c>
      <c r="U19" s="431">
        <v>7.2674823800656871E-4</v>
      </c>
      <c r="V19" s="418">
        <v>1.1644233811403192E-5</v>
      </c>
      <c r="W19" s="430">
        <v>3.571431188804735E-2</v>
      </c>
      <c r="X19" s="418">
        <v>-7.2063115052881262E-4</v>
      </c>
      <c r="Y19" s="417">
        <v>-3.9906638749817059E-6</v>
      </c>
      <c r="Z19" s="416">
        <v>6.0000000000002274E-3</v>
      </c>
      <c r="AA19" s="415">
        <v>-3.7598082390167127E-4</v>
      </c>
      <c r="AB19" s="416">
        <v>1391.8000000000002</v>
      </c>
      <c r="AC19" s="415">
        <v>49.720242258562237</v>
      </c>
      <c r="AD19" s="411">
        <v>17</v>
      </c>
      <c r="AE19" s="385">
        <v>7.2195556754719448E-3</v>
      </c>
      <c r="AF19" s="384">
        <v>-0.11489362974850292</v>
      </c>
      <c r="AG19" s="384">
        <v>-1.8004399744316002E-2</v>
      </c>
      <c r="AH19" s="384">
        <v>-6.8198281301043995E-3</v>
      </c>
      <c r="AI19" s="383">
        <v>-0.16033742808307472</v>
      </c>
      <c r="AJ19" s="426">
        <v>52.41897299981818</v>
      </c>
      <c r="AK19" s="365">
        <v>51.666084687171377</v>
      </c>
      <c r="AL19" s="365">
        <v>52.458986342028645</v>
      </c>
      <c r="AM19" s="365">
        <v>52.460429284430958</v>
      </c>
      <c r="AN19" s="425">
        <v>53.349105807799489</v>
      </c>
    </row>
    <row r="20" spans="1:48" ht="15" customHeight="1">
      <c r="A20" s="305">
        <v>18</v>
      </c>
      <c r="B20" s="307">
        <v>28.7</v>
      </c>
      <c r="C20" s="307">
        <v>27.402266942907271</v>
      </c>
      <c r="D20" s="305">
        <v>1</v>
      </c>
      <c r="E20" s="299">
        <v>0.79</v>
      </c>
      <c r="F20" s="299">
        <v>-0.107</v>
      </c>
      <c r="G20" s="299">
        <v>0.874</v>
      </c>
      <c r="H20" s="299">
        <v>0.748</v>
      </c>
      <c r="I20" s="304">
        <f t="shared" si="0"/>
        <v>-0.73805266123726332</v>
      </c>
      <c r="J20" s="305">
        <f t="shared" si="1"/>
        <v>1</v>
      </c>
      <c r="K20" s="299">
        <f t="shared" si="2"/>
        <v>0.79</v>
      </c>
      <c r="L20" s="299">
        <f t="shared" si="3"/>
        <v>-0.107</v>
      </c>
      <c r="M20" s="427">
        <f t="shared" si="4"/>
        <v>0.874</v>
      </c>
      <c r="N20" s="436" t="s">
        <v>112</v>
      </c>
      <c r="O20" s="287">
        <v>-8.5975577409723272</v>
      </c>
      <c r="P20" s="394">
        <v>0.51821507374401365</v>
      </c>
      <c r="Q20" s="394">
        <f t="shared" si="5"/>
        <v>-16.590713347754377</v>
      </c>
      <c r="R20" s="435" t="str">
        <f t="shared" si="6"/>
        <v>&lt; 0.0001</v>
      </c>
      <c r="S20" s="284" t="str">
        <f t="shared" si="7"/>
        <v>*</v>
      </c>
      <c r="T20" s="303">
        <f>[1]!VIF(E$3:I$30,5)</f>
        <v>2.5234299618948675</v>
      </c>
      <c r="U20" s="429">
        <v>-20.121015783794864</v>
      </c>
      <c r="V20" s="355">
        <v>-0.25435712233253721</v>
      </c>
      <c r="W20" s="412">
        <v>-7.2063115052881294E-4</v>
      </c>
      <c r="X20" s="355">
        <v>20.064359352768498</v>
      </c>
      <c r="Y20" s="352">
        <v>3.8909789759286953E-2</v>
      </c>
      <c r="Z20" s="346">
        <v>-10.191030000000003</v>
      </c>
      <c r="AA20" s="339">
        <v>15.993324980986285</v>
      </c>
      <c r="AB20" s="346">
        <v>96.435200000000037</v>
      </c>
      <c r="AC20" s="339">
        <v>-371.73205996095589</v>
      </c>
      <c r="AD20" s="411">
        <v>18</v>
      </c>
      <c r="AE20" s="385">
        <v>-5.1410981719212101E-3</v>
      </c>
      <c r="AF20" s="384">
        <v>0.28034000097978162</v>
      </c>
      <c r="AG20" s="384">
        <v>0.21437852669853696</v>
      </c>
      <c r="AH20" s="384">
        <v>5.2930723058056683E-3</v>
      </c>
      <c r="AI20" s="383">
        <v>-0.17697468438422836</v>
      </c>
      <c r="AJ20" s="426">
        <v>50.685583039779857</v>
      </c>
      <c r="AK20" s="365">
        <v>51.747881118838734</v>
      </c>
      <c r="AL20" s="365">
        <v>45.189602529878314</v>
      </c>
      <c r="AM20" s="365">
        <v>50.624701292994502</v>
      </c>
      <c r="AN20" s="425">
        <v>52.526425981919772</v>
      </c>
    </row>
    <row r="21" spans="1:48" ht="15" customHeight="1">
      <c r="A21" s="305">
        <v>19</v>
      </c>
      <c r="B21" s="307">
        <v>36</v>
      </c>
      <c r="C21" s="307">
        <v>46.269536649138885</v>
      </c>
      <c r="D21" s="305">
        <v>1</v>
      </c>
      <c r="E21" s="299">
        <v>0.79</v>
      </c>
      <c r="F21" s="299">
        <v>0.6</v>
      </c>
      <c r="G21" s="299">
        <v>0.16200000000000001</v>
      </c>
      <c r="H21" s="299">
        <v>0.748</v>
      </c>
      <c r="I21" s="304">
        <f t="shared" si="0"/>
        <v>-0.46816289915733694</v>
      </c>
      <c r="J21" s="305">
        <f t="shared" si="1"/>
        <v>1</v>
      </c>
      <c r="K21" s="299">
        <f t="shared" si="2"/>
        <v>0.79</v>
      </c>
      <c r="L21" s="299">
        <f t="shared" si="3"/>
        <v>0.6</v>
      </c>
      <c r="M21" s="427">
        <f t="shared" si="4"/>
        <v>0.16200000000000001</v>
      </c>
      <c r="U21" s="428">
        <v>-7.5324189129192753E-2</v>
      </c>
      <c r="V21" s="353">
        <v>-5.1914836631490949E-2</v>
      </c>
      <c r="W21" s="410">
        <v>-3.990663874981672E-6</v>
      </c>
      <c r="X21" s="353">
        <v>3.8909789759286016E-2</v>
      </c>
      <c r="Y21" s="354">
        <v>7.6143703290970352E-2</v>
      </c>
      <c r="Z21" s="286">
        <v>-17.183702000000004</v>
      </c>
      <c r="AA21" s="393">
        <v>-0.5546887640105822</v>
      </c>
      <c r="AB21" s="286">
        <v>341.87469999999996</v>
      </c>
      <c r="AC21" s="393">
        <v>17.696966409573122</v>
      </c>
      <c r="AD21" s="411">
        <v>19</v>
      </c>
      <c r="AE21" s="385">
        <v>9.3845845239480807E-3</v>
      </c>
      <c r="AF21" s="384">
        <v>0.11838289095541155</v>
      </c>
      <c r="AG21" s="384">
        <v>-5.8396018642939834E-2</v>
      </c>
      <c r="AH21" s="384">
        <v>-9.1475924820771937E-3</v>
      </c>
      <c r="AI21" s="383">
        <v>-0.60649833641986151</v>
      </c>
      <c r="AJ21" s="426">
        <v>40.020444906664082</v>
      </c>
      <c r="AK21" s="365">
        <v>39.751364871799119</v>
      </c>
      <c r="AL21" s="365">
        <v>41.021667905768339</v>
      </c>
      <c r="AM21" s="365">
        <v>40.094631524531394</v>
      </c>
      <c r="AN21" s="425">
        <v>44.652010675177856</v>
      </c>
    </row>
    <row r="22" spans="1:48" ht="15" customHeight="1">
      <c r="A22" s="283">
        <v>20</v>
      </c>
      <c r="B22" s="303">
        <v>81.5</v>
      </c>
      <c r="C22" s="303">
        <v>72.846546840241786</v>
      </c>
      <c r="D22" s="283">
        <v>1</v>
      </c>
      <c r="E22" s="282">
        <v>0.79</v>
      </c>
      <c r="F22" s="282">
        <v>0.99299999999999999</v>
      </c>
      <c r="G22" s="282">
        <v>-0.93300000000000005</v>
      </c>
      <c r="H22" s="282">
        <v>0.748</v>
      </c>
      <c r="I22" s="281">
        <f t="shared" si="0"/>
        <v>1.6598916646880624E-2</v>
      </c>
      <c r="J22" s="283">
        <f t="shared" si="1"/>
        <v>1</v>
      </c>
      <c r="K22" s="282">
        <f t="shared" si="2"/>
        <v>0.79</v>
      </c>
      <c r="L22" s="282">
        <f t="shared" si="3"/>
        <v>0.99299999999999999</v>
      </c>
      <c r="M22" s="414">
        <f t="shared" si="4"/>
        <v>-0.93300000000000005</v>
      </c>
      <c r="U22" s="595" t="s">
        <v>155</v>
      </c>
      <c r="V22" s="596"/>
      <c r="W22" s="596"/>
      <c r="X22" s="596"/>
      <c r="Y22" s="597"/>
      <c r="Z22" s="595" t="s">
        <v>149</v>
      </c>
      <c r="AA22" s="598"/>
      <c r="AB22" s="598"/>
      <c r="AC22" s="599"/>
      <c r="AD22" s="411">
        <v>20</v>
      </c>
      <c r="AE22" s="382">
        <v>5.1661352458140519E-2</v>
      </c>
      <c r="AF22" s="381">
        <v>-0.82566030763856657</v>
      </c>
      <c r="AG22" s="381">
        <v>-0.85087573863370436</v>
      </c>
      <c r="AH22" s="381">
        <v>-5.0856435117962784E-2</v>
      </c>
      <c r="AI22" s="380">
        <v>-1.181009116361436</v>
      </c>
      <c r="AJ22" s="423">
        <v>61.569074278345632</v>
      </c>
      <c r="AK22" s="422">
        <v>56.172289304814548</v>
      </c>
      <c r="AL22" s="422">
        <v>81.44161589548429</v>
      </c>
      <c r="AM22" s="422">
        <v>62.013356614441214</v>
      </c>
      <c r="AN22" s="421">
        <v>68.514390087433824</v>
      </c>
    </row>
    <row r="23" spans="1:48" ht="15" customHeight="1">
      <c r="A23" s="291">
        <v>21</v>
      </c>
      <c r="B23" s="309">
        <v>48.5</v>
      </c>
      <c r="C23" s="309">
        <v>55.845522088480649</v>
      </c>
      <c r="D23" s="291">
        <v>1</v>
      </c>
      <c r="E23" s="290">
        <v>0.79</v>
      </c>
      <c r="F23" s="290">
        <v>2.0539999999999998</v>
      </c>
      <c r="G23" s="290">
        <v>-0.996</v>
      </c>
      <c r="H23" s="290">
        <v>0.748</v>
      </c>
      <c r="I23" s="289">
        <f t="shared" si="0"/>
        <v>2.5198701896199758</v>
      </c>
      <c r="J23" s="291">
        <f t="shared" si="1"/>
        <v>1</v>
      </c>
      <c r="K23" s="290">
        <f t="shared" si="2"/>
        <v>0.79</v>
      </c>
      <c r="L23" s="290">
        <f t="shared" si="3"/>
        <v>2.0539999999999998</v>
      </c>
      <c r="M23" s="420">
        <f t="shared" si="4"/>
        <v>-0.996</v>
      </c>
      <c r="U23" s="424">
        <v>22</v>
      </c>
      <c r="V23" s="334">
        <v>0</v>
      </c>
      <c r="W23" s="361">
        <v>1</v>
      </c>
      <c r="X23" s="361">
        <v>2</v>
      </c>
      <c r="Y23" s="360">
        <v>3</v>
      </c>
      <c r="Z23" s="424" t="s">
        <v>154</v>
      </c>
      <c r="AA23" s="360" t="s">
        <v>153</v>
      </c>
      <c r="AB23" s="424" t="s">
        <v>152</v>
      </c>
      <c r="AC23" s="360" t="s">
        <v>151</v>
      </c>
      <c r="AD23" s="411">
        <v>21</v>
      </c>
      <c r="AE23" s="388">
        <v>-4.4546983375776117E-3</v>
      </c>
      <c r="AF23" s="387">
        <v>0.13513120342452778</v>
      </c>
      <c r="AG23" s="387">
        <v>0.11114278871278915</v>
      </c>
      <c r="AH23" s="387">
        <v>4.7799926594389586E-3</v>
      </c>
      <c r="AI23" s="386">
        <v>1.2368349060862656</v>
      </c>
      <c r="AJ23" s="434">
        <v>42.084957419806592</v>
      </c>
      <c r="AK23" s="433">
        <v>42.719768685825393</v>
      </c>
      <c r="AL23" s="433">
        <v>39.346739982706517</v>
      </c>
      <c r="AM23" s="433">
        <v>42.01829806421987</v>
      </c>
      <c r="AN23" s="432">
        <v>31.727861247535962</v>
      </c>
    </row>
    <row r="24" spans="1:48" ht="15" customHeight="1">
      <c r="A24" s="305">
        <v>22</v>
      </c>
      <c r="B24" s="307">
        <v>50.4</v>
      </c>
      <c r="C24" s="307">
        <v>51.42413264554186</v>
      </c>
      <c r="D24" s="305">
        <v>1</v>
      </c>
      <c r="E24" s="299">
        <v>0.79</v>
      </c>
      <c r="F24" s="299">
        <v>2.2109999999999999</v>
      </c>
      <c r="G24" s="299">
        <v>-0.98199999999999998</v>
      </c>
      <c r="H24" s="299">
        <v>0.748</v>
      </c>
      <c r="I24" s="304">
        <f t="shared" si="0"/>
        <v>3.0383582563233538</v>
      </c>
      <c r="J24" s="305">
        <f t="shared" si="1"/>
        <v>1</v>
      </c>
      <c r="K24" s="299">
        <f t="shared" si="2"/>
        <v>0.79</v>
      </c>
      <c r="L24" s="299">
        <f t="shared" si="3"/>
        <v>2.2109999999999999</v>
      </c>
      <c r="M24" s="427">
        <f t="shared" si="4"/>
        <v>-0.98199999999999998</v>
      </c>
      <c r="U24" s="429">
        <f t="array" ref="U24:Y28">MINVERSE(MMULT(TRANSPOSE(X_not_4),X_not_4))</f>
        <v>7.3902055729940214E-2</v>
      </c>
      <c r="V24" s="412">
        <v>2.0368030143481677E-6</v>
      </c>
      <c r="W24" s="355">
        <v>3.3518587271625981E-2</v>
      </c>
      <c r="X24" s="355">
        <v>-5.3245405228641102E-2</v>
      </c>
      <c r="Y24" s="352">
        <v>-3.9186495216079311E-3</v>
      </c>
      <c r="Z24" s="346">
        <f t="array" ref="Z24:Z28">MMULT(TRANSPOSE(X_not_4),x_4)</f>
        <v>-7.1736170098775371</v>
      </c>
      <c r="AA24" s="339">
        <f t="array" ref="AA24:AA28">MMULT(U24:Y28,Z24:Z28)</f>
        <v>-1.1192450557087466E-2</v>
      </c>
      <c r="AB24" s="346">
        <f t="array" ref="AB24:AB28">MMULT(TRANSPOSE(X_not_4),y)</f>
        <v>66.720747040887318</v>
      </c>
      <c r="AC24" s="339">
        <f t="array" ref="AC24:AC28">MMULT(U24:Y28,AB24:AB28)</f>
        <v>-7.7936606079934432</v>
      </c>
      <c r="AD24" s="411">
        <v>22</v>
      </c>
      <c r="AE24" s="385">
        <v>-1.5672699817096181E-2</v>
      </c>
      <c r="AF24" s="384">
        <v>0.3042907756459825</v>
      </c>
      <c r="AG24" s="384">
        <v>0.30263734437758094</v>
      </c>
      <c r="AH24" s="384">
        <v>1.5918392071572751E-2</v>
      </c>
      <c r="AI24" s="383">
        <v>1.7650460192677371</v>
      </c>
      <c r="AJ24" s="426">
        <v>47.709642030771278</v>
      </c>
      <c r="AK24" s="365">
        <v>49.489493871539992</v>
      </c>
      <c r="AL24" s="365">
        <v>40.473611066199368</v>
      </c>
      <c r="AM24" s="365">
        <v>47.539672594631881</v>
      </c>
      <c r="AN24" s="425">
        <v>33.507925145473735</v>
      </c>
    </row>
    <row r="25" spans="1:48" ht="15" customHeight="1">
      <c r="A25" s="305">
        <v>23</v>
      </c>
      <c r="B25" s="307">
        <v>89.2</v>
      </c>
      <c r="C25" s="307">
        <v>76.319773653595377</v>
      </c>
      <c r="D25" s="305">
        <v>1</v>
      </c>
      <c r="E25" s="299">
        <v>0.79</v>
      </c>
      <c r="F25" s="299">
        <v>0.89500000000000002</v>
      </c>
      <c r="G25" s="299">
        <v>-1.335</v>
      </c>
      <c r="H25" s="299">
        <v>0.86499999999999999</v>
      </c>
      <c r="I25" s="304">
        <f t="shared" si="0"/>
        <v>-0.12666873525793759</v>
      </c>
      <c r="J25" s="305">
        <f t="shared" si="1"/>
        <v>1</v>
      </c>
      <c r="K25" s="299">
        <f t="shared" si="2"/>
        <v>0.79</v>
      </c>
      <c r="L25" s="299">
        <f t="shared" si="3"/>
        <v>0.89500000000000002</v>
      </c>
      <c r="M25" s="427">
        <f t="shared" si="4"/>
        <v>-1.335</v>
      </c>
      <c r="U25" s="431">
        <v>2.0368030143481677E-6</v>
      </c>
      <c r="V25" s="430">
        <v>3.571428866900745E-2</v>
      </c>
      <c r="W25" s="418">
        <v>-4.0777091666444122E-7</v>
      </c>
      <c r="X25" s="418">
        <v>-9.810226612886326E-6</v>
      </c>
      <c r="Y25" s="417">
        <v>-1.3856663254755252E-5</v>
      </c>
      <c r="Z25" s="416">
        <v>-2.0000000000048868E-3</v>
      </c>
      <c r="AA25" s="415">
        <v>-2.4780521340693343E-5</v>
      </c>
      <c r="AB25" s="416">
        <v>1391.8000000000002</v>
      </c>
      <c r="AC25" s="415">
        <v>49.711823189558018</v>
      </c>
      <c r="AD25" s="411">
        <v>23</v>
      </c>
      <c r="AE25" s="385">
        <v>-4.0750869513862531E-2</v>
      </c>
      <c r="AF25" s="384">
        <v>0.86595757076683499</v>
      </c>
      <c r="AG25" s="384">
        <v>0.57024937815485943</v>
      </c>
      <c r="AH25" s="384">
        <v>4.0159076108240432E-2</v>
      </c>
      <c r="AI25" s="383">
        <v>0.4801351987060985</v>
      </c>
      <c r="AJ25" s="426">
        <v>60.056497038009972</v>
      </c>
      <c r="AK25" s="365">
        <v>64.88247864136062</v>
      </c>
      <c r="AL25" s="365">
        <v>47.118674263343927</v>
      </c>
      <c r="AM25" s="365">
        <v>59.702945816385601</v>
      </c>
      <c r="AN25" s="425">
        <v>58.459379109198572</v>
      </c>
    </row>
    <row r="26" spans="1:48" ht="15" customHeight="1">
      <c r="A26" s="305">
        <v>24</v>
      </c>
      <c r="B26" s="307">
        <v>82.7</v>
      </c>
      <c r="C26" s="307">
        <v>78.45722116820059</v>
      </c>
      <c r="D26" s="305">
        <v>1</v>
      </c>
      <c r="E26" s="299">
        <v>0.79</v>
      </c>
      <c r="F26" s="299">
        <v>-0.20499999999999999</v>
      </c>
      <c r="G26" s="299">
        <v>-1.335</v>
      </c>
      <c r="H26" s="299">
        <v>0.86499999999999999</v>
      </c>
      <c r="I26" s="304">
        <f t="shared" si="0"/>
        <v>-0.71437707469367051</v>
      </c>
      <c r="J26" s="305">
        <f t="shared" si="1"/>
        <v>1</v>
      </c>
      <c r="K26" s="299">
        <f t="shared" si="2"/>
        <v>0.79</v>
      </c>
      <c r="L26" s="299">
        <f t="shared" si="3"/>
        <v>-0.20499999999999999</v>
      </c>
      <c r="M26" s="427">
        <f t="shared" si="4"/>
        <v>-1.335</v>
      </c>
      <c r="U26" s="429">
        <v>3.3518587271625981E-2</v>
      </c>
      <c r="V26" s="412">
        <v>-4.0777091666444059E-7</v>
      </c>
      <c r="W26" s="355">
        <v>5.8720512609140921E-2</v>
      </c>
      <c r="X26" s="355">
        <v>-2.8798459258020812E-2</v>
      </c>
      <c r="Y26" s="352">
        <v>1.1689683046034823E-2</v>
      </c>
      <c r="Z26" s="346">
        <v>26.986040000000013</v>
      </c>
      <c r="AA26" s="339">
        <v>0.98497422561742809</v>
      </c>
      <c r="AB26" s="346">
        <v>96.435200000000037</v>
      </c>
      <c r="AC26" s="339">
        <v>-8.639751260478155</v>
      </c>
      <c r="AD26" s="411">
        <v>24</v>
      </c>
      <c r="AE26" s="385">
        <v>-1.3885115197931341E-3</v>
      </c>
      <c r="AF26" s="384">
        <v>-0.22851461472126458</v>
      </c>
      <c r="AG26" s="384">
        <v>-0.14238657493931117</v>
      </c>
      <c r="AH26" s="384">
        <v>1.4510347151286407E-3</v>
      </c>
      <c r="AI26" s="383">
        <v>-8.16376977246146E-2</v>
      </c>
      <c r="AJ26" s="426">
        <v>53.863686838030866</v>
      </c>
      <c r="AK26" s="365">
        <v>53.344273021349004</v>
      </c>
      <c r="AL26" s="365">
        <v>57.812327463835835</v>
      </c>
      <c r="AM26" s="365">
        <v>53.845701201979743</v>
      </c>
      <c r="AN26" s="425">
        <v>54.651806508969834</v>
      </c>
    </row>
    <row r="27" spans="1:48" ht="15" customHeight="1">
      <c r="A27" s="305">
        <v>25</v>
      </c>
      <c r="B27" s="307">
        <v>78.599999999999994</v>
      </c>
      <c r="C27" s="307">
        <v>78.562155189510847</v>
      </c>
      <c r="D27" s="305">
        <v>1</v>
      </c>
      <c r="E27" s="299">
        <v>0.79</v>
      </c>
      <c r="F27" s="299">
        <v>-0.185</v>
      </c>
      <c r="G27" s="299">
        <v>-1.335</v>
      </c>
      <c r="H27" s="299">
        <v>0.86499999999999999</v>
      </c>
      <c r="I27" s="304">
        <f t="shared" si="0"/>
        <v>-0.72041676513846464</v>
      </c>
      <c r="J27" s="305">
        <f t="shared" si="1"/>
        <v>1</v>
      </c>
      <c r="K27" s="299">
        <f t="shared" si="2"/>
        <v>0.79</v>
      </c>
      <c r="L27" s="299">
        <f t="shared" si="3"/>
        <v>-0.185</v>
      </c>
      <c r="M27" s="427">
        <f t="shared" si="4"/>
        <v>-1.335</v>
      </c>
      <c r="U27" s="429">
        <v>-5.3245405228641088E-2</v>
      </c>
      <c r="V27" s="412">
        <v>-9.8102266128863243E-6</v>
      </c>
      <c r="W27" s="355">
        <v>-2.8798459258020808E-2</v>
      </c>
      <c r="X27" s="355">
        <v>0.1010757388846043</v>
      </c>
      <c r="Y27" s="352">
        <v>4.0981314317059099E-2</v>
      </c>
      <c r="Z27" s="346">
        <v>8.0445540000000015</v>
      </c>
      <c r="AA27" s="339">
        <v>-2.9209222601808527E-2</v>
      </c>
      <c r="AB27" s="346">
        <v>341.87469999999996</v>
      </c>
      <c r="AC27" s="339">
        <v>4.7483224724033306</v>
      </c>
      <c r="AD27" s="411">
        <v>25</v>
      </c>
      <c r="AE27" s="385">
        <v>-1.9179113079527133E-3</v>
      </c>
      <c r="AF27" s="384">
        <v>-0.20845780714130008</v>
      </c>
      <c r="AG27" s="384">
        <v>-0.13234593646927406</v>
      </c>
      <c r="AH27" s="384">
        <v>1.9676202304814705E-3</v>
      </c>
      <c r="AI27" s="383">
        <v>-8.814894167859133E-2</v>
      </c>
      <c r="AJ27" s="426">
        <v>49.62587393083971</v>
      </c>
      <c r="AK27" s="365">
        <v>49.192496995214505</v>
      </c>
      <c r="AL27" s="365">
        <v>53.335029141138016</v>
      </c>
      <c r="AM27" s="365">
        <v>49.603663455027608</v>
      </c>
      <c r="AN27" s="425">
        <v>50.50285328351945</v>
      </c>
    </row>
    <row r="28" spans="1:48" ht="15" customHeight="1">
      <c r="A28" s="305">
        <v>26</v>
      </c>
      <c r="B28" s="307">
        <v>75.400000000000006</v>
      </c>
      <c r="C28" s="307">
        <v>78.99934739957699</v>
      </c>
      <c r="D28" s="305">
        <v>1</v>
      </c>
      <c r="E28" s="299">
        <v>0.79</v>
      </c>
      <c r="F28" s="299">
        <v>-8.6999999999999994E-2</v>
      </c>
      <c r="G28" s="299">
        <v>-1.335</v>
      </c>
      <c r="H28" s="299">
        <v>0.86499999999999999</v>
      </c>
      <c r="I28" s="304">
        <f t="shared" si="0"/>
        <v>-0.7410570200739045</v>
      </c>
      <c r="J28" s="305">
        <f t="shared" si="1"/>
        <v>1</v>
      </c>
      <c r="K28" s="299">
        <f t="shared" si="2"/>
        <v>0.79</v>
      </c>
      <c r="L28" s="299">
        <f t="shared" si="3"/>
        <v>-8.6999999999999994E-2</v>
      </c>
      <c r="M28" s="427">
        <f t="shared" si="4"/>
        <v>-1.335</v>
      </c>
      <c r="U28" s="428">
        <v>-3.9186495216079319E-3</v>
      </c>
      <c r="V28" s="410">
        <v>-1.3856663254755252E-5</v>
      </c>
      <c r="W28" s="353">
        <v>1.1689683046034821E-2</v>
      </c>
      <c r="X28" s="353">
        <v>4.0981314317059099E-2</v>
      </c>
      <c r="Y28" s="354">
        <v>6.6612709029863118E-2</v>
      </c>
      <c r="Z28" s="286">
        <v>-10.910442</v>
      </c>
      <c r="AA28" s="393">
        <v>-5.3528529473743314E-2</v>
      </c>
      <c r="AB28" s="286">
        <v>-572.54149999999993</v>
      </c>
      <c r="AC28" s="393">
        <v>-23.281509814181174</v>
      </c>
      <c r="AD28" s="411">
        <v>26</v>
      </c>
      <c r="AE28" s="385">
        <v>-4.6116987670540288E-3</v>
      </c>
      <c r="AF28" s="384">
        <v>-0.11026367087828451</v>
      </c>
      <c r="AG28" s="384">
        <v>-8.1585465136245761E-2</v>
      </c>
      <c r="AH28" s="384">
        <v>4.5991090126080714E-3</v>
      </c>
      <c r="AI28" s="383">
        <v>-0.11109980880902415</v>
      </c>
      <c r="AJ28" s="426">
        <v>45.821381445185828</v>
      </c>
      <c r="AK28" s="365">
        <v>45.815555744875873</v>
      </c>
      <c r="AL28" s="365">
        <v>48.320898566645944</v>
      </c>
      <c r="AM28" s="365">
        <v>45.777464710902827</v>
      </c>
      <c r="AN28" s="425">
        <v>47.062982478812565</v>
      </c>
    </row>
    <row r="29" spans="1:48" ht="15" customHeight="1">
      <c r="A29" s="305">
        <v>27</v>
      </c>
      <c r="B29" s="307">
        <v>70.900000000000006</v>
      </c>
      <c r="C29" s="307">
        <v>78.99934739957699</v>
      </c>
      <c r="D29" s="305">
        <v>1</v>
      </c>
      <c r="E29" s="299">
        <v>0.79</v>
      </c>
      <c r="F29" s="299">
        <v>-8.6999999999999994E-2</v>
      </c>
      <c r="G29" s="299">
        <v>-1.335</v>
      </c>
      <c r="H29" s="299">
        <v>0.86499999999999999</v>
      </c>
      <c r="I29" s="304">
        <f t="shared" si="0"/>
        <v>-0.7410570200739045</v>
      </c>
      <c r="J29" s="305">
        <f t="shared" si="1"/>
        <v>1</v>
      </c>
      <c r="K29" s="299">
        <f t="shared" si="2"/>
        <v>0.79</v>
      </c>
      <c r="L29" s="299">
        <f t="shared" si="3"/>
        <v>-8.6999999999999994E-2</v>
      </c>
      <c r="M29" s="427">
        <f t="shared" si="4"/>
        <v>-1.335</v>
      </c>
      <c r="U29" s="595" t="s">
        <v>150</v>
      </c>
      <c r="V29" s="596"/>
      <c r="W29" s="596"/>
      <c r="X29" s="596"/>
      <c r="Y29" s="597"/>
      <c r="Z29" s="595" t="s">
        <v>149</v>
      </c>
      <c r="AA29" s="598"/>
      <c r="AB29" s="598"/>
      <c r="AC29" s="599"/>
      <c r="AD29" s="411">
        <v>27</v>
      </c>
      <c r="AE29" s="385">
        <v>-4.6116987670540288E-3</v>
      </c>
      <c r="AF29" s="384">
        <v>-0.11026367087828451</v>
      </c>
      <c r="AG29" s="384">
        <v>-8.1585465136245761E-2</v>
      </c>
      <c r="AH29" s="384">
        <v>4.5991090126080714E-3</v>
      </c>
      <c r="AI29" s="383">
        <v>-0.11109980880902415</v>
      </c>
      <c r="AJ29" s="426">
        <v>41.321381445185828</v>
      </c>
      <c r="AK29" s="365">
        <v>41.315555744875873</v>
      </c>
      <c r="AL29" s="365">
        <v>43.820898566645944</v>
      </c>
      <c r="AM29" s="365">
        <v>41.277464710902827</v>
      </c>
      <c r="AN29" s="425">
        <v>42.562982478812565</v>
      </c>
    </row>
    <row r="30" spans="1:48" ht="15" customHeight="1">
      <c r="A30" s="283">
        <v>28</v>
      </c>
      <c r="B30" s="303">
        <v>73.099999999999994</v>
      </c>
      <c r="C30" s="303">
        <v>78.562155189510847</v>
      </c>
      <c r="D30" s="283">
        <v>1</v>
      </c>
      <c r="E30" s="299">
        <v>0.79</v>
      </c>
      <c r="F30" s="299">
        <v>-0.185</v>
      </c>
      <c r="G30" s="299">
        <v>-1.335</v>
      </c>
      <c r="H30" s="299">
        <v>0.86499999999999999</v>
      </c>
      <c r="I30" s="281">
        <f t="shared" si="0"/>
        <v>-0.72041676513846464</v>
      </c>
      <c r="J30" s="283">
        <f t="shared" si="1"/>
        <v>1</v>
      </c>
      <c r="K30" s="282">
        <f t="shared" si="2"/>
        <v>0.79</v>
      </c>
      <c r="L30" s="282">
        <f t="shared" si="3"/>
        <v>-0.185</v>
      </c>
      <c r="M30" s="414">
        <f t="shared" si="4"/>
        <v>-1.335</v>
      </c>
      <c r="U30" s="334">
        <v>0</v>
      </c>
      <c r="V30" s="361">
        <v>1</v>
      </c>
      <c r="W30" s="361">
        <v>2</v>
      </c>
      <c r="X30" s="361">
        <v>3</v>
      </c>
      <c r="Y30" s="360">
        <v>4</v>
      </c>
      <c r="Z30" s="424" t="s">
        <v>148</v>
      </c>
      <c r="AA30" s="360" t="s">
        <v>147</v>
      </c>
      <c r="AB30" s="424" t="s">
        <v>146</v>
      </c>
      <c r="AC30" s="360" t="s">
        <v>145</v>
      </c>
      <c r="AD30" s="411">
        <v>28</v>
      </c>
      <c r="AE30" s="382">
        <v>-1.9179113079527133E-3</v>
      </c>
      <c r="AF30" s="381">
        <v>-0.20845780714130008</v>
      </c>
      <c r="AG30" s="381">
        <v>-0.13234593646927406</v>
      </c>
      <c r="AH30" s="381">
        <v>1.9676202304814705E-3</v>
      </c>
      <c r="AI30" s="380">
        <v>-8.814894167859133E-2</v>
      </c>
      <c r="AJ30" s="423">
        <v>44.12587393083971</v>
      </c>
      <c r="AK30" s="422">
        <v>43.692496995214505</v>
      </c>
      <c r="AL30" s="422">
        <v>47.835029141138016</v>
      </c>
      <c r="AM30" s="422">
        <v>44.103663455027608</v>
      </c>
      <c r="AN30" s="421">
        <v>45.00285328351945</v>
      </c>
    </row>
    <row r="31" spans="1:48" ht="15" customHeight="1">
      <c r="A31" s="296" t="s">
        <v>93</v>
      </c>
      <c r="B31" s="279">
        <f t="shared" ref="B31:M31" si="8">AVERAGE(B3:B30)</f>
        <v>49.707142857142863</v>
      </c>
      <c r="C31" s="279">
        <f t="shared" si="8"/>
        <v>49.707142857142863</v>
      </c>
      <c r="D31" s="291">
        <f t="shared" si="8"/>
        <v>1</v>
      </c>
      <c r="E31" s="290">
        <f t="shared" si="8"/>
        <v>-3.5714285714487968E-5</v>
      </c>
      <c r="F31" s="290">
        <f t="shared" si="8"/>
        <v>3.6677010634938206E-17</v>
      </c>
      <c r="G31" s="290">
        <f t="shared" si="8"/>
        <v>2.1428571428572241E-4</v>
      </c>
      <c r="H31" s="290">
        <f t="shared" si="8"/>
        <v>-7.142857142874595E-5</v>
      </c>
      <c r="I31" s="289">
        <f t="shared" si="8"/>
        <v>-1.1102230246251565E-16</v>
      </c>
      <c r="J31" s="291">
        <f t="shared" si="8"/>
        <v>1</v>
      </c>
      <c r="K31" s="290">
        <f t="shared" si="8"/>
        <v>-3.5714285714487968E-5</v>
      </c>
      <c r="L31" s="290">
        <f t="shared" si="8"/>
        <v>3.6677010634938206E-17</v>
      </c>
      <c r="M31" s="420">
        <f t="shared" si="8"/>
        <v>2.1428571428572241E-4</v>
      </c>
      <c r="U31" s="419">
        <f t="array" ref="U31:Y35">MINVERSE(MMULT(TRANSPOSE(X_not_5),X_not_5))</f>
        <v>3.5714362547975144E-2</v>
      </c>
      <c r="V31" s="418">
        <v>-2.992478635585479E-3</v>
      </c>
      <c r="W31" s="418">
        <v>1.0426736979604778E-4</v>
      </c>
      <c r="X31" s="418">
        <v>1.4976508597960679E-4</v>
      </c>
      <c r="Y31" s="417">
        <v>3.0212062276785434E-3</v>
      </c>
      <c r="Z31" s="416">
        <f t="array" ref="Z31:Z35">MMULT(TRANSPOSE(X_not_5),x_5)</f>
        <v>-3.1086244689504383E-15</v>
      </c>
      <c r="AA31" s="415">
        <f t="array" ref="AA31:AA35">MMULT(U31:Y35,Z31:Z35)</f>
        <v>-4.8512188174325635E-4</v>
      </c>
      <c r="AB31" s="416">
        <f t="array" ref="AB31:AB35">MMULT(TRANSPOSE(X_not_5),y)</f>
        <v>1391.8000000000002</v>
      </c>
      <c r="AC31" s="415">
        <f t="array" ref="AC31:AC35">MMULT(U31:Y35,AB31:AB35)</f>
        <v>49.714214193393481</v>
      </c>
      <c r="AD31" s="409" t="s">
        <v>93</v>
      </c>
      <c r="AE31" s="295">
        <f t="shared" ref="AE31:AN31" si="9">AVERAGE(AE3:AE30)</f>
        <v>7.1371480154474354E-17</v>
      </c>
      <c r="AF31" s="340">
        <f t="shared" si="9"/>
        <v>-8.2771091568036228E-16</v>
      </c>
      <c r="AG31" s="340">
        <f t="shared" si="9"/>
        <v>3.0531133177191805E-16</v>
      </c>
      <c r="AH31" s="340">
        <f t="shared" si="9"/>
        <v>-2.3790493384824782E-17</v>
      </c>
      <c r="AI31" s="344">
        <f t="shared" si="9"/>
        <v>3.2315420181053662E-16</v>
      </c>
      <c r="AJ31" s="295">
        <f t="shared" si="9"/>
        <v>49.707142857142856</v>
      </c>
      <c r="AK31" s="340">
        <f t="shared" si="9"/>
        <v>49.707142857142856</v>
      </c>
      <c r="AL31" s="340">
        <f t="shared" si="9"/>
        <v>49.707142857142848</v>
      </c>
      <c r="AM31" s="340">
        <f t="shared" si="9"/>
        <v>49.707142857142863</v>
      </c>
      <c r="AN31" s="344">
        <f t="shared" si="9"/>
        <v>49.707142857142848</v>
      </c>
      <c r="AR31" s="144"/>
      <c r="AS31" s="144"/>
      <c r="AT31" s="144"/>
      <c r="AU31" s="144"/>
      <c r="AV31" s="144"/>
    </row>
    <row r="32" spans="1:48" ht="15" customHeight="1">
      <c r="A32" s="288" t="s">
        <v>88</v>
      </c>
      <c r="B32" s="287">
        <f t="shared" ref="B32:M32" si="10">STDEV(B3:B30)</f>
        <v>23.026328386041023</v>
      </c>
      <c r="C32" s="287">
        <f t="shared" si="10"/>
        <v>22.475783845891474</v>
      </c>
      <c r="D32" s="283">
        <f t="shared" si="10"/>
        <v>0</v>
      </c>
      <c r="E32" s="282">
        <f t="shared" si="10"/>
        <v>1.0001657448622034</v>
      </c>
      <c r="F32" s="282">
        <f t="shared" si="10"/>
        <v>1.0001692819681041</v>
      </c>
      <c r="G32" s="282">
        <f t="shared" si="10"/>
        <v>1.0000014206339116</v>
      </c>
      <c r="H32" s="282">
        <f t="shared" si="10"/>
        <v>1.0003016925860302</v>
      </c>
      <c r="I32" s="281">
        <f t="shared" si="10"/>
        <v>0.99999999999999989</v>
      </c>
      <c r="J32" s="283">
        <f t="shared" si="10"/>
        <v>0</v>
      </c>
      <c r="K32" s="282">
        <f t="shared" si="10"/>
        <v>1.0001657448622034</v>
      </c>
      <c r="L32" s="282">
        <f t="shared" si="10"/>
        <v>1.0001692819681041</v>
      </c>
      <c r="M32" s="414">
        <f t="shared" si="10"/>
        <v>1.0000014206339116</v>
      </c>
      <c r="U32" s="412">
        <v>-2.9924786355854786E-3</v>
      </c>
      <c r="V32" s="355">
        <v>121.05451701002409</v>
      </c>
      <c r="W32" s="355">
        <v>-4.5604467379753482</v>
      </c>
      <c r="X32" s="355">
        <v>-6.6017082338294442</v>
      </c>
      <c r="Y32" s="352">
        <v>-122.22708410474431</v>
      </c>
      <c r="Z32" s="346">
        <v>-6.8803481180767898</v>
      </c>
      <c r="AA32" s="339">
        <v>18.057711590382951</v>
      </c>
      <c r="AB32" s="346">
        <v>96.435200000000037</v>
      </c>
      <c r="AC32" s="339">
        <v>-93.146250864800095</v>
      </c>
      <c r="AD32" s="369" t="s">
        <v>144</v>
      </c>
      <c r="AE32" s="286">
        <f t="shared" ref="AE32:AN32" si="11">STDEV(AE3:AE30)</f>
        <v>1.5633944760829032E-2</v>
      </c>
      <c r="AF32" s="394">
        <f t="shared" si="11"/>
        <v>0.39760302857926383</v>
      </c>
      <c r="AG32" s="394">
        <f t="shared" si="11"/>
        <v>0.26844200889339342</v>
      </c>
      <c r="AH32" s="394">
        <f t="shared" si="11"/>
        <v>1.5402017194988037E-2</v>
      </c>
      <c r="AI32" s="393">
        <f t="shared" si="11"/>
        <v>0.62951252054387208</v>
      </c>
      <c r="AJ32" s="286">
        <f t="shared" si="11"/>
        <v>5.0984022226654817</v>
      </c>
      <c r="AK32" s="394">
        <f t="shared" si="11"/>
        <v>5.1148240510015164</v>
      </c>
      <c r="AL32" s="394">
        <f t="shared" si="11"/>
        <v>8.8360451728574496</v>
      </c>
      <c r="AM32" s="394">
        <f t="shared" si="11"/>
        <v>5.1258878596565296</v>
      </c>
      <c r="AN32" s="393">
        <f t="shared" si="11"/>
        <v>7.3718117616403847</v>
      </c>
      <c r="AR32" s="144"/>
      <c r="AS32" s="144"/>
      <c r="AT32" s="144"/>
      <c r="AU32" s="144"/>
      <c r="AV32" s="144"/>
    </row>
    <row r="33" spans="1:48" ht="15" customHeight="1">
      <c r="A33" s="280" t="s">
        <v>143</v>
      </c>
      <c r="B33" s="295">
        <f t="array" ref="B33:B34">[1]!PolyCoeff(AE3:AE30,AJ3:AJ30,1)</f>
        <v>49.707142857142848</v>
      </c>
      <c r="C33" s="340">
        <f t="array" ref="C33:C34">[1]!PolyCoeff(AF3:AF30,AK3:AK30,1)</f>
        <v>49.707142857142856</v>
      </c>
      <c r="D33" s="340">
        <f t="array" ref="D33:D34">[1]!PolyCoeff(AG3:AG30,AL3:AL30,1)</f>
        <v>49.707142857142856</v>
      </c>
      <c r="E33" s="340">
        <f t="array" ref="E33:E34">[1]!PolyCoeff(AH3:AH30,AM3:AM30,1)</f>
        <v>49.707142857142863</v>
      </c>
      <c r="F33" s="344">
        <f t="array" ref="F33:F34">[1]!PolyCoeff(AI3:AI30,AN3:AN30,1)</f>
        <v>49.707142857142848</v>
      </c>
      <c r="H33" s="246" t="s">
        <v>93</v>
      </c>
      <c r="I33" s="279">
        <v>0.96461221428571442</v>
      </c>
      <c r="U33" s="412">
        <v>1.0426736979604805E-4</v>
      </c>
      <c r="V33" s="355">
        <v>-4.560446737975357</v>
      </c>
      <c r="W33" s="355">
        <v>0.23422893639866502</v>
      </c>
      <c r="X33" s="355">
        <v>0.28720477971366581</v>
      </c>
      <c r="Y33" s="352">
        <v>4.6015808852751716</v>
      </c>
      <c r="Z33" s="346">
        <v>14.828102057085067</v>
      </c>
      <c r="AA33" s="339">
        <v>2.3577675459108605E-2</v>
      </c>
      <c r="AB33" s="346">
        <v>341.87469999999996</v>
      </c>
      <c r="AC33" s="339">
        <v>2.4476612725193263</v>
      </c>
      <c r="AD33" s="411" t="s">
        <v>129</v>
      </c>
      <c r="AE33" s="295">
        <f t="shared" ref="AE33:AN33" si="12">MIN(AE3:AE30)</f>
        <v>-4.0750869513862531E-2</v>
      </c>
      <c r="AF33" s="340">
        <f t="shared" si="12"/>
        <v>-0.82566030763856657</v>
      </c>
      <c r="AG33" s="340">
        <f t="shared" si="12"/>
        <v>-0.85087573863370436</v>
      </c>
      <c r="AH33" s="340">
        <f t="shared" si="12"/>
        <v>-5.0856435117962784E-2</v>
      </c>
      <c r="AI33" s="344">
        <f t="shared" si="12"/>
        <v>-1.181009116361436</v>
      </c>
      <c r="AJ33" s="295">
        <f t="shared" si="12"/>
        <v>40.020444906664082</v>
      </c>
      <c r="AK33" s="340">
        <f t="shared" si="12"/>
        <v>39.751364871799119</v>
      </c>
      <c r="AL33" s="340">
        <f t="shared" si="12"/>
        <v>33.15621818236815</v>
      </c>
      <c r="AM33" s="340">
        <f t="shared" si="12"/>
        <v>40.094631524531394</v>
      </c>
      <c r="AN33" s="344">
        <f t="shared" si="12"/>
        <v>31.727861247535962</v>
      </c>
      <c r="AR33" s="144"/>
      <c r="AS33" s="144"/>
      <c r="AT33" s="144"/>
      <c r="AU33" s="144"/>
      <c r="AV33" s="144"/>
    </row>
    <row r="34" spans="1:48" ht="15" customHeight="1">
      <c r="A34" s="413" t="s">
        <v>142</v>
      </c>
      <c r="B34" s="286">
        <v>62.105967203018132</v>
      </c>
      <c r="C34" s="394">
        <v>2.6503716986866364</v>
      </c>
      <c r="D34" s="394">
        <v>-27.126193438811729</v>
      </c>
      <c r="E34" s="394">
        <v>-71.824943865054109</v>
      </c>
      <c r="F34" s="393">
        <v>-8.5975577409687407</v>
      </c>
      <c r="H34" s="246" t="s">
        <v>88</v>
      </c>
      <c r="I34" s="287">
        <v>1.2914569167569183</v>
      </c>
      <c r="U34" s="412">
        <v>1.4976508597960728E-4</v>
      </c>
      <c r="V34" s="355">
        <v>-6.6017082338294575</v>
      </c>
      <c r="W34" s="355">
        <v>0.28720477971366593</v>
      </c>
      <c r="X34" s="355">
        <v>0.42802943464559107</v>
      </c>
      <c r="Y34" s="352">
        <v>6.6816536245685674</v>
      </c>
      <c r="Z34" s="346">
        <v>-6.3267579330512289</v>
      </c>
      <c r="AA34" s="339">
        <v>-0.95891010894096951</v>
      </c>
      <c r="AB34" s="346">
        <v>-572.54149999999993</v>
      </c>
      <c r="AC34" s="339">
        <v>-18.881908408807249</v>
      </c>
      <c r="AD34" s="411" t="s">
        <v>128</v>
      </c>
      <c r="AE34" s="286">
        <f t="shared" ref="AE34:AN34" si="13">MAX(AE3:AE30)</f>
        <v>5.1661352458140519E-2</v>
      </c>
      <c r="AF34" s="394">
        <f t="shared" si="13"/>
        <v>0.95484538751176173</v>
      </c>
      <c r="AG34" s="394">
        <f t="shared" si="13"/>
        <v>0.57024937815485943</v>
      </c>
      <c r="AH34" s="394">
        <f t="shared" si="13"/>
        <v>4.0159076108240432E-2</v>
      </c>
      <c r="AI34" s="393">
        <f t="shared" si="13"/>
        <v>1.7650460192677371</v>
      </c>
      <c r="AJ34" s="286">
        <f t="shared" si="13"/>
        <v>61.569074278345632</v>
      </c>
      <c r="AK34" s="394">
        <f t="shared" si="13"/>
        <v>64.88247864136062</v>
      </c>
      <c r="AL34" s="394">
        <f t="shared" si="13"/>
        <v>81.44161589548429</v>
      </c>
      <c r="AM34" s="394">
        <f t="shared" si="13"/>
        <v>62.013356614441214</v>
      </c>
      <c r="AN34" s="393">
        <f t="shared" si="13"/>
        <v>68.514390087433824</v>
      </c>
      <c r="AR34" s="144"/>
      <c r="AS34" s="144"/>
      <c r="AT34" s="144"/>
      <c r="AU34" s="144"/>
      <c r="AV34" s="144"/>
    </row>
    <row r="35" spans="1:48" ht="15" customHeight="1">
      <c r="A35" s="587" t="s">
        <v>141</v>
      </c>
      <c r="B35" s="607"/>
      <c r="C35" s="607"/>
      <c r="D35" s="607"/>
      <c r="E35" s="607"/>
      <c r="F35" s="607"/>
      <c r="G35" s="607"/>
      <c r="H35" s="607"/>
      <c r="I35" s="607"/>
      <c r="J35" s="607"/>
      <c r="K35" s="608"/>
      <c r="U35" s="410">
        <v>3.0212062276785451E-3</v>
      </c>
      <c r="V35" s="353">
        <v>-122.22708410474432</v>
      </c>
      <c r="W35" s="353">
        <v>4.6015808852751636</v>
      </c>
      <c r="X35" s="353">
        <v>6.6816536245685541</v>
      </c>
      <c r="Y35" s="354">
        <v>123.45539011362503</v>
      </c>
      <c r="Z35" s="286">
        <v>-7.1736170098775371</v>
      </c>
      <c r="AA35" s="393">
        <v>-18.697292466424187</v>
      </c>
      <c r="AB35" s="286">
        <v>114.40630000000017</v>
      </c>
      <c r="AC35" s="393">
        <v>88.926107714543832</v>
      </c>
      <c r="AD35" s="409" t="s">
        <v>140</v>
      </c>
      <c r="AE35" s="408">
        <f>1/28</f>
        <v>3.5714285714285712E-2</v>
      </c>
      <c r="AF35" s="407">
        <f>1/28</f>
        <v>3.5714285714285712E-2</v>
      </c>
      <c r="AG35" s="407">
        <f>1/28</f>
        <v>3.5714285714285712E-2</v>
      </c>
      <c r="AH35" s="407">
        <f>1/28</f>
        <v>3.5714285714285712E-2</v>
      </c>
      <c r="AI35" s="406">
        <f>1/28</f>
        <v>3.5714285714285712E-2</v>
      </c>
      <c r="AR35" s="144"/>
      <c r="AS35" s="144"/>
      <c r="AT35" s="144"/>
      <c r="AU35" s="144"/>
      <c r="AV35" s="144"/>
    </row>
    <row r="36" spans="1:48" ht="15" customHeight="1">
      <c r="A36" s="364"/>
      <c r="B36" s="405" t="s">
        <v>139</v>
      </c>
      <c r="C36" s="404" t="s">
        <v>138</v>
      </c>
      <c r="D36" s="404" t="s">
        <v>137</v>
      </c>
      <c r="E36" s="404" t="s">
        <v>136</v>
      </c>
      <c r="F36" s="403" t="s">
        <v>135</v>
      </c>
      <c r="G36" s="379" t="s">
        <v>134</v>
      </c>
      <c r="H36" s="378" t="s">
        <v>133</v>
      </c>
      <c r="I36" s="378" t="s">
        <v>132</v>
      </c>
      <c r="J36" s="378" t="s">
        <v>132</v>
      </c>
      <c r="K36" s="377" t="s">
        <v>131</v>
      </c>
      <c r="AD36" s="369" t="s">
        <v>130</v>
      </c>
      <c r="AE36" s="286">
        <f t="array" ref="AE36">1/SUMSQ(AE3:AE30)</f>
        <v>151.53016270870327</v>
      </c>
      <c r="AF36" s="394">
        <f t="array" ref="AF36">1/SUMSQ(AF3:AF30)</f>
        <v>0.23428089165065502</v>
      </c>
      <c r="AG36" s="394">
        <f t="array" ref="AG36">1/SUMSQ(AG3:AG30)</f>
        <v>0.51396704738249333</v>
      </c>
      <c r="AH36" s="394">
        <f t="array" ref="AH36">1/SUMSQ(AH3:AH30)</f>
        <v>156.12808325813472</v>
      </c>
      <c r="AI36" s="393">
        <f t="array" ref="AI36">1/SUMSQ(AI3:AI30)</f>
        <v>9.3460368959066814E-2</v>
      </c>
    </row>
    <row r="37" spans="1:48" ht="15" customHeight="1">
      <c r="A37" s="402" t="s">
        <v>129</v>
      </c>
      <c r="B37" s="401">
        <f t="shared" ref="B37:F38" si="14">AE33</f>
        <v>-4.0750869513862531E-2</v>
      </c>
      <c r="C37" s="400">
        <f t="shared" si="14"/>
        <v>-0.82566030763856657</v>
      </c>
      <c r="D37" s="400">
        <f t="shared" si="14"/>
        <v>-0.85087573863370436</v>
      </c>
      <c r="E37" s="400">
        <f t="shared" si="14"/>
        <v>-5.0856435117962784E-2</v>
      </c>
      <c r="F37" s="399">
        <f t="shared" si="14"/>
        <v>-1.181009116361436</v>
      </c>
      <c r="G37" s="295">
        <f t="shared" ref="G37:K38" si="15">B$33+B$34*B37</f>
        <v>47.176270691620431</v>
      </c>
      <c r="H37" s="340">
        <f t="shared" si="15"/>
        <v>47.518836145048695</v>
      </c>
      <c r="I37" s="340">
        <f t="shared" si="15"/>
        <v>72.788162735712532</v>
      </c>
      <c r="J37" s="340">
        <f t="shared" si="15"/>
        <v>53.359903454667304</v>
      </c>
      <c r="K37" s="344">
        <f t="shared" si="15"/>
        <v>59.860936927670764</v>
      </c>
    </row>
    <row r="38" spans="1:48" ht="15" customHeight="1" outlineLevel="1">
      <c r="A38" s="398" t="s">
        <v>128</v>
      </c>
      <c r="B38" s="397">
        <f t="shared" si="14"/>
        <v>5.1661352458140519E-2</v>
      </c>
      <c r="C38" s="396">
        <f t="shared" si="14"/>
        <v>0.95484538751176173</v>
      </c>
      <c r="D38" s="396">
        <f t="shared" si="14"/>
        <v>0.57024937815485943</v>
      </c>
      <c r="E38" s="396">
        <f t="shared" si="14"/>
        <v>4.0159076108240432E-2</v>
      </c>
      <c r="F38" s="395">
        <f t="shared" si="14"/>
        <v>1.7650460192677371</v>
      </c>
      <c r="G38" s="286">
        <f t="shared" si="15"/>
        <v>52.915621118571686</v>
      </c>
      <c r="H38" s="394">
        <f t="shared" si="15"/>
        <v>52.237838048825502</v>
      </c>
      <c r="I38" s="394">
        <f t="shared" si="15"/>
        <v>34.23844791695204</v>
      </c>
      <c r="J38" s="394">
        <f t="shared" si="15"/>
        <v>46.822719469996059</v>
      </c>
      <c r="K38" s="393">
        <f t="shared" si="15"/>
        <v>34.532057791021458</v>
      </c>
      <c r="L38" s="379">
        <v>1</v>
      </c>
      <c r="M38" s="378">
        <v>2</v>
      </c>
      <c r="N38" s="378">
        <v>3</v>
      </c>
      <c r="O38" s="378">
        <v>4</v>
      </c>
      <c r="P38" s="377">
        <v>5</v>
      </c>
      <c r="Q38" s="379">
        <v>1</v>
      </c>
      <c r="R38" s="378">
        <v>2</v>
      </c>
      <c r="S38" s="378">
        <v>3</v>
      </c>
      <c r="T38" s="378">
        <v>4</v>
      </c>
      <c r="U38" s="377">
        <v>5</v>
      </c>
    </row>
    <row r="39" spans="1:48" ht="15" customHeight="1" outlineLevel="1">
      <c r="A39" s="392" t="s">
        <v>127</v>
      </c>
      <c r="B39" s="391">
        <f>(B38-B37)/20</f>
        <v>4.6206110986001525E-3</v>
      </c>
      <c r="C39" s="390">
        <f>(C38-C37)/20</f>
        <v>8.9025284757516407E-2</v>
      </c>
      <c r="D39" s="390">
        <f>(D38-D37)/20</f>
        <v>7.1056255839428178E-2</v>
      </c>
      <c r="E39" s="390">
        <f>(E38-E37)/20</f>
        <v>4.5507755613101606E-3</v>
      </c>
      <c r="F39" s="389">
        <f>(F38-F37)/20</f>
        <v>0.14730275678145865</v>
      </c>
      <c r="G39" s="590" t="s">
        <v>126</v>
      </c>
      <c r="H39" s="591"/>
      <c r="I39" s="591"/>
      <c r="J39" s="591"/>
      <c r="K39" s="592"/>
      <c r="L39" s="590" t="s">
        <v>125</v>
      </c>
      <c r="M39" s="591"/>
      <c r="N39" s="591"/>
      <c r="O39" s="591"/>
      <c r="P39" s="592"/>
      <c r="Q39" s="590" t="s">
        <v>124</v>
      </c>
      <c r="R39" s="591"/>
      <c r="S39" s="591"/>
      <c r="T39" s="591"/>
      <c r="U39" s="592"/>
    </row>
    <row r="40" spans="1:48" ht="15" customHeight="1" outlineLevel="1">
      <c r="A40" s="373">
        <v>1</v>
      </c>
      <c r="B40" s="388">
        <f>B37</f>
        <v>-4.0750869513862531E-2</v>
      </c>
      <c r="C40" s="387">
        <f>C37</f>
        <v>-0.82566030763856657</v>
      </c>
      <c r="D40" s="387">
        <f>D37</f>
        <v>-0.85087573863370436</v>
      </c>
      <c r="E40" s="387">
        <f>E37</f>
        <v>-5.0856435117962784E-2</v>
      </c>
      <c r="F40" s="386">
        <f>F37</f>
        <v>-1.181009116361436</v>
      </c>
      <c r="G40" s="376">
        <f t="shared" ref="G40:G60" si="16">B$33+B$34*B40</f>
        <v>47.176270691620431</v>
      </c>
      <c r="H40" s="375">
        <f t="shared" ref="H40:H60" si="17">C$33+C$34*C40</f>
        <v>47.518836145048695</v>
      </c>
      <c r="I40" s="375">
        <f t="shared" ref="I40:I60" si="18">D$33+D$34*D40</f>
        <v>72.788162735712532</v>
      </c>
      <c r="J40" s="375">
        <f t="shared" ref="J40:J60" si="19">E$33+E$34*E40</f>
        <v>53.359903454667304</v>
      </c>
      <c r="K40" s="374">
        <f t="shared" ref="K40:K60" si="20">F$33+F$34*F40</f>
        <v>59.860936927670764</v>
      </c>
      <c r="L40" s="376">
        <f t="shared" ref="L40:L60" si="21">s*t_crit*SQRT(AE$35+AE$36*B40^2)</f>
        <v>7.1497168223423921</v>
      </c>
      <c r="M40" s="375">
        <f t="shared" ref="M40:M60" si="22">s*t_crit*SQRT(AF$35+AF$36*C40^2)</f>
        <v>5.8962427071950767</v>
      </c>
      <c r="N40" s="375">
        <f t="shared" ref="N40:N60" si="23">s*t_crit*SQRT(AG$35+AG$36*D40^2)</f>
        <v>8.5176110913225003</v>
      </c>
      <c r="O40" s="375">
        <f t="shared" ref="O40:O60" si="24">s*t_crit*SQRT(AH$35+AH$36*E40^2)</f>
        <v>8.8424475827753852</v>
      </c>
      <c r="P40" s="374">
        <f t="shared" ref="P40:P60" si="25">s*t_crit*SQRT(AI$35+AI$36*F40^2)</f>
        <v>5.4353826208527964</v>
      </c>
      <c r="Q40" s="376">
        <f t="shared" ref="Q40:Q60" si="26">s*t_crit*SQRT(1+AE$35+AE$36*B40^2)</f>
        <v>15.133220686684801</v>
      </c>
      <c r="R40" s="375">
        <f t="shared" ref="R40:R60" si="27">s*t_crit*SQRT(1+AF$35+AF$36*C40^2)</f>
        <v>14.582921373112114</v>
      </c>
      <c r="S40" s="375">
        <f t="shared" ref="S40:S60" si="28">s*t_crit*SQRT(1+AG$35+AG$36*D40^2)</f>
        <v>15.825473655320373</v>
      </c>
      <c r="T40" s="375">
        <f t="shared" ref="T40:T60" si="29">s*t_crit*SQRT(1+AH$35+AH$36*E40^2)</f>
        <v>16.002649685797326</v>
      </c>
      <c r="U40" s="374">
        <f t="shared" ref="U40:U60" si="30">s*t_crit*SQRT(1+AI$35+AI$36*F40^2)</f>
        <v>14.402753276623454</v>
      </c>
    </row>
    <row r="41" spans="1:48" ht="15" customHeight="1" outlineLevel="1">
      <c r="A41" s="373">
        <v>2</v>
      </c>
      <c r="B41" s="385">
        <f t="shared" ref="B41:B60" si="31">B40+B$39</f>
        <v>-3.6130258415262378E-2</v>
      </c>
      <c r="C41" s="384">
        <f t="shared" ref="C41:C60" si="32">C40+C$39</f>
        <v>-0.73663502288105021</v>
      </c>
      <c r="D41" s="384">
        <f t="shared" ref="D41:D60" si="33">D40+D$39</f>
        <v>-0.77981948279427615</v>
      </c>
      <c r="E41" s="384">
        <f t="shared" ref="E41:E60" si="34">E40+E$39</f>
        <v>-4.6305659556652626E-2</v>
      </c>
      <c r="F41" s="383">
        <f t="shared" ref="F41:F60" si="35">F40+F$39</f>
        <v>-1.0337063595799774</v>
      </c>
      <c r="G41" s="372">
        <f t="shared" si="16"/>
        <v>47.463238212967994</v>
      </c>
      <c r="H41" s="371">
        <f t="shared" si="17"/>
        <v>47.754786240237536</v>
      </c>
      <c r="I41" s="371">
        <f t="shared" si="18"/>
        <v>70.860676994774508</v>
      </c>
      <c r="J41" s="371">
        <f t="shared" si="19"/>
        <v>53.033044255433744</v>
      </c>
      <c r="K41" s="370">
        <f t="shared" si="20"/>
        <v>58.594492970838303</v>
      </c>
      <c r="L41" s="372">
        <f t="shared" si="21"/>
        <v>6.4453431629803948</v>
      </c>
      <c r="M41" s="371">
        <f t="shared" si="22"/>
        <v>5.3822855420810081</v>
      </c>
      <c r="N41" s="371">
        <f t="shared" si="23"/>
        <v>7.8711688120887464</v>
      </c>
      <c r="O41" s="371">
        <f t="shared" si="24"/>
        <v>8.1183745089024058</v>
      </c>
      <c r="P41" s="370">
        <f t="shared" si="25"/>
        <v>4.9111456572809793</v>
      </c>
      <c r="Q41" s="372">
        <f t="shared" si="26"/>
        <v>14.813452204020409</v>
      </c>
      <c r="R41" s="371">
        <f t="shared" si="27"/>
        <v>14.382799288341378</v>
      </c>
      <c r="S41" s="371">
        <f t="shared" si="28"/>
        <v>15.487130663251266</v>
      </c>
      <c r="T41" s="371">
        <f t="shared" si="29"/>
        <v>15.614221798700548</v>
      </c>
      <c r="U41" s="370">
        <f t="shared" si="30"/>
        <v>14.213207568288338</v>
      </c>
    </row>
    <row r="42" spans="1:48" ht="15" customHeight="1" outlineLevel="1">
      <c r="A42" s="373">
        <v>3</v>
      </c>
      <c r="B42" s="385">
        <f t="shared" si="31"/>
        <v>-3.1509647316662226E-2</v>
      </c>
      <c r="C42" s="384">
        <f t="shared" si="32"/>
        <v>-0.64760973812353384</v>
      </c>
      <c r="D42" s="384">
        <f t="shared" si="33"/>
        <v>-0.70876322695484795</v>
      </c>
      <c r="E42" s="384">
        <f t="shared" si="34"/>
        <v>-4.1754883995342468E-2</v>
      </c>
      <c r="F42" s="383">
        <f t="shared" si="35"/>
        <v>-0.88640360279851871</v>
      </c>
      <c r="G42" s="372">
        <f t="shared" si="16"/>
        <v>47.750205734315557</v>
      </c>
      <c r="H42" s="371">
        <f t="shared" si="17"/>
        <v>47.990736335426377</v>
      </c>
      <c r="I42" s="371">
        <f t="shared" si="18"/>
        <v>68.933191253836483</v>
      </c>
      <c r="J42" s="371">
        <f t="shared" si="19"/>
        <v>52.706185056200184</v>
      </c>
      <c r="K42" s="370">
        <f t="shared" si="20"/>
        <v>57.328049014005835</v>
      </c>
      <c r="L42" s="372">
        <f t="shared" si="21"/>
        <v>5.7547802368490135</v>
      </c>
      <c r="M42" s="371">
        <f t="shared" si="22"/>
        <v>4.8819001653477514</v>
      </c>
      <c r="N42" s="371">
        <f t="shared" si="23"/>
        <v>7.2307802810393289</v>
      </c>
      <c r="O42" s="371">
        <f t="shared" si="24"/>
        <v>7.4011841852202469</v>
      </c>
      <c r="P42" s="370">
        <f t="shared" si="25"/>
        <v>4.4064536598972994</v>
      </c>
      <c r="Q42" s="372">
        <f t="shared" si="26"/>
        <v>14.526300743363638</v>
      </c>
      <c r="R42" s="371">
        <f t="shared" si="27"/>
        <v>14.203128772796557</v>
      </c>
      <c r="S42" s="371">
        <f t="shared" si="28"/>
        <v>15.171687486396699</v>
      </c>
      <c r="T42" s="371">
        <f t="shared" si="29"/>
        <v>15.253637109088878</v>
      </c>
      <c r="U42" s="370">
        <f t="shared" si="30"/>
        <v>14.046805742553762</v>
      </c>
    </row>
    <row r="43" spans="1:48" ht="15" customHeight="1" outlineLevel="1">
      <c r="A43" s="373">
        <v>4</v>
      </c>
      <c r="B43" s="385">
        <f t="shared" si="31"/>
        <v>-2.6889036218062073E-2</v>
      </c>
      <c r="C43" s="384">
        <f t="shared" si="32"/>
        <v>-0.55858445336601747</v>
      </c>
      <c r="D43" s="384">
        <f t="shared" si="33"/>
        <v>-0.63770697111541974</v>
      </c>
      <c r="E43" s="384">
        <f t="shared" si="34"/>
        <v>-3.720410843403231E-2</v>
      </c>
      <c r="F43" s="383">
        <f t="shared" si="35"/>
        <v>-0.73910084601706005</v>
      </c>
      <c r="G43" s="372">
        <f t="shared" si="16"/>
        <v>48.03717325566312</v>
      </c>
      <c r="H43" s="371">
        <f t="shared" si="17"/>
        <v>48.226686430615217</v>
      </c>
      <c r="I43" s="371">
        <f t="shared" si="18"/>
        <v>67.005705512898459</v>
      </c>
      <c r="J43" s="371">
        <f t="shared" si="19"/>
        <v>52.379325856966616</v>
      </c>
      <c r="K43" s="370">
        <f t="shared" si="20"/>
        <v>56.061605057173367</v>
      </c>
      <c r="L43" s="372">
        <f t="shared" si="21"/>
        <v>5.0836593018450182</v>
      </c>
      <c r="M43" s="371">
        <f t="shared" si="22"/>
        <v>4.3997196235596165</v>
      </c>
      <c r="N43" s="371">
        <f t="shared" si="23"/>
        <v>6.5982083716586235</v>
      </c>
      <c r="O43" s="371">
        <f t="shared" si="24"/>
        <v>6.6930895171366167</v>
      </c>
      <c r="P43" s="370">
        <f t="shared" si="25"/>
        <v>3.9288459888936953</v>
      </c>
      <c r="Q43" s="372">
        <f t="shared" si="26"/>
        <v>14.273734956536584</v>
      </c>
      <c r="R43" s="371">
        <f t="shared" si="27"/>
        <v>14.044694744926094</v>
      </c>
      <c r="S43" s="371">
        <f t="shared" si="28"/>
        <v>14.880600506298292</v>
      </c>
      <c r="T43" s="371">
        <f t="shared" si="29"/>
        <v>14.922914091980262</v>
      </c>
      <c r="U43" s="370">
        <f t="shared" si="30"/>
        <v>13.904378753351949</v>
      </c>
    </row>
    <row r="44" spans="1:48" ht="15" customHeight="1" outlineLevel="1">
      <c r="A44" s="373">
        <v>5</v>
      </c>
      <c r="B44" s="385">
        <f t="shared" si="31"/>
        <v>-2.2268425119461921E-2</v>
      </c>
      <c r="C44" s="384">
        <f t="shared" si="32"/>
        <v>-0.46955916860850105</v>
      </c>
      <c r="D44" s="384">
        <f t="shared" si="33"/>
        <v>-0.56665071527599153</v>
      </c>
      <c r="E44" s="384">
        <f t="shared" si="34"/>
        <v>-3.2653332872722152E-2</v>
      </c>
      <c r="F44" s="383">
        <f t="shared" si="35"/>
        <v>-0.5917980892356014</v>
      </c>
      <c r="G44" s="372">
        <f t="shared" si="16"/>
        <v>48.324140777010683</v>
      </c>
      <c r="H44" s="371">
        <f t="shared" si="17"/>
        <v>48.462636525804058</v>
      </c>
      <c r="I44" s="371">
        <f t="shared" si="18"/>
        <v>65.078219771960434</v>
      </c>
      <c r="J44" s="371">
        <f t="shared" si="19"/>
        <v>52.052466657733056</v>
      </c>
      <c r="K44" s="370">
        <f t="shared" si="20"/>
        <v>54.795161100340906</v>
      </c>
      <c r="L44" s="372">
        <f t="shared" si="21"/>
        <v>4.4408036949408505</v>
      </c>
      <c r="M44" s="371">
        <f t="shared" si="22"/>
        <v>3.9424292360210802</v>
      </c>
      <c r="N44" s="371">
        <f t="shared" si="23"/>
        <v>5.9759358428512943</v>
      </c>
      <c r="O44" s="371">
        <f t="shared" si="24"/>
        <v>5.9973131058287814</v>
      </c>
      <c r="P44" s="370">
        <f t="shared" si="25"/>
        <v>3.4894616361125292</v>
      </c>
      <c r="Q44" s="372">
        <f t="shared" si="26"/>
        <v>14.057619114530715</v>
      </c>
      <c r="R44" s="371">
        <f t="shared" si="27"/>
        <v>13.908222963170125</v>
      </c>
      <c r="S44" s="371">
        <f t="shared" si="28"/>
        <v>14.615325070284747</v>
      </c>
      <c r="T44" s="371">
        <f t="shared" si="29"/>
        <v>14.624078849676811</v>
      </c>
      <c r="U44" s="370">
        <f t="shared" si="30"/>
        <v>13.786669656669087</v>
      </c>
    </row>
    <row r="45" spans="1:48" ht="15" customHeight="1" outlineLevel="1">
      <c r="A45" s="373">
        <v>6</v>
      </c>
      <c r="B45" s="385">
        <f t="shared" si="31"/>
        <v>-1.7647814020861768E-2</v>
      </c>
      <c r="C45" s="384">
        <f t="shared" si="32"/>
        <v>-0.38053388385098463</v>
      </c>
      <c r="D45" s="384">
        <f t="shared" si="33"/>
        <v>-0.49559445943656333</v>
      </c>
      <c r="E45" s="384">
        <f t="shared" si="34"/>
        <v>-2.810255731141199E-2</v>
      </c>
      <c r="F45" s="383">
        <f t="shared" si="35"/>
        <v>-0.44449533245414274</v>
      </c>
      <c r="G45" s="372">
        <f t="shared" si="16"/>
        <v>48.611108298358246</v>
      </c>
      <c r="H45" s="371">
        <f t="shared" si="17"/>
        <v>48.698586620992899</v>
      </c>
      <c r="I45" s="371">
        <f t="shared" si="18"/>
        <v>63.150734031022409</v>
      </c>
      <c r="J45" s="371">
        <f t="shared" si="19"/>
        <v>51.725607458499496</v>
      </c>
      <c r="K45" s="370">
        <f t="shared" si="20"/>
        <v>53.528717143508437</v>
      </c>
      <c r="L45" s="372">
        <f t="shared" si="21"/>
        <v>3.8404338626934837</v>
      </c>
      <c r="M45" s="371">
        <f t="shared" si="22"/>
        <v>3.5197437079589999</v>
      </c>
      <c r="N45" s="371">
        <f t="shared" si="23"/>
        <v>5.3675459866510522</v>
      </c>
      <c r="O45" s="371">
        <f t="shared" si="24"/>
        <v>5.3186914705009025</v>
      </c>
      <c r="P45" s="370">
        <f t="shared" si="25"/>
        <v>3.1045722689587145</v>
      </c>
      <c r="Q45" s="372">
        <f t="shared" si="26"/>
        <v>13.87965597433675</v>
      </c>
      <c r="R45" s="371">
        <f t="shared" si="27"/>
        <v>13.794365280140148</v>
      </c>
      <c r="S45" s="371">
        <f t="shared" si="28"/>
        <v>14.377289996067857</v>
      </c>
      <c r="T45" s="371">
        <f t="shared" si="29"/>
        <v>14.359122419932149</v>
      </c>
      <c r="U45" s="370">
        <f t="shared" si="30"/>
        <v>13.69431585313434</v>
      </c>
    </row>
    <row r="46" spans="1:48" ht="15" customHeight="1" outlineLevel="1">
      <c r="A46" s="373">
        <v>7</v>
      </c>
      <c r="B46" s="385">
        <f t="shared" si="31"/>
        <v>-1.3027202922261616E-2</v>
      </c>
      <c r="C46" s="384">
        <f t="shared" si="32"/>
        <v>-0.29150859909346821</v>
      </c>
      <c r="D46" s="384">
        <f t="shared" si="33"/>
        <v>-0.42453820359713512</v>
      </c>
      <c r="E46" s="384">
        <f t="shared" si="34"/>
        <v>-2.3551781750101829E-2</v>
      </c>
      <c r="F46" s="383">
        <f t="shared" si="35"/>
        <v>-0.29719257567268409</v>
      </c>
      <c r="G46" s="372">
        <f t="shared" si="16"/>
        <v>48.898075819705809</v>
      </c>
      <c r="H46" s="371">
        <f t="shared" si="17"/>
        <v>48.934536716181739</v>
      </c>
      <c r="I46" s="371">
        <f t="shared" si="18"/>
        <v>61.223248290084378</v>
      </c>
      <c r="J46" s="371">
        <f t="shared" si="19"/>
        <v>51.398748259265929</v>
      </c>
      <c r="K46" s="370">
        <f t="shared" si="20"/>
        <v>52.262273186675969</v>
      </c>
      <c r="L46" s="372">
        <f t="shared" si="21"/>
        <v>3.3057792254478833</v>
      </c>
      <c r="M46" s="371">
        <f t="shared" si="22"/>
        <v>3.1456438501497912</v>
      </c>
      <c r="N46" s="371">
        <f t="shared" si="23"/>
        <v>4.778344470487971</v>
      </c>
      <c r="O46" s="371">
        <f t="shared" si="24"/>
        <v>4.6647176432774868</v>
      </c>
      <c r="P46" s="370">
        <f t="shared" si="25"/>
        <v>2.7967678120117636</v>
      </c>
      <c r="Q46" s="372">
        <f t="shared" si="26"/>
        <v>13.741327956191927</v>
      </c>
      <c r="R46" s="371">
        <f t="shared" si="27"/>
        <v>13.703685378182184</v>
      </c>
      <c r="S46" s="371">
        <f t="shared" si="28"/>
        <v>14.167868350279868</v>
      </c>
      <c r="T46" s="371">
        <f t="shared" si="29"/>
        <v>14.129950757300016</v>
      </c>
      <c r="U46" s="370">
        <f t="shared" si="30"/>
        <v>13.627832839689665</v>
      </c>
    </row>
    <row r="47" spans="1:48" ht="15" customHeight="1" outlineLevel="1">
      <c r="A47" s="373">
        <v>8</v>
      </c>
      <c r="B47" s="385">
        <f t="shared" si="31"/>
        <v>-8.4065918236614634E-3</v>
      </c>
      <c r="C47" s="384">
        <f t="shared" si="32"/>
        <v>-0.20248331433595179</v>
      </c>
      <c r="D47" s="384">
        <f t="shared" si="33"/>
        <v>-0.35348194775770692</v>
      </c>
      <c r="E47" s="384">
        <f t="shared" si="34"/>
        <v>-1.9001006188791667E-2</v>
      </c>
      <c r="F47" s="383">
        <f t="shared" si="35"/>
        <v>-0.14988981889122543</v>
      </c>
      <c r="G47" s="372">
        <f t="shared" si="16"/>
        <v>49.185043341053373</v>
      </c>
      <c r="H47" s="371">
        <f t="shared" si="17"/>
        <v>49.17048681137058</v>
      </c>
      <c r="I47" s="371">
        <f t="shared" si="18"/>
        <v>59.295762549146353</v>
      </c>
      <c r="J47" s="371">
        <f t="shared" si="19"/>
        <v>51.071889060032369</v>
      </c>
      <c r="K47" s="370">
        <f t="shared" si="20"/>
        <v>50.995829229843508</v>
      </c>
      <c r="L47" s="372">
        <f t="shared" si="21"/>
        <v>2.8737553058742424</v>
      </c>
      <c r="M47" s="371">
        <f t="shared" si="22"/>
        <v>2.8393989976469416</v>
      </c>
      <c r="N47" s="371">
        <f t="shared" si="23"/>
        <v>4.2163831748742009</v>
      </c>
      <c r="O47" s="371">
        <f t="shared" si="24"/>
        <v>4.0473571239416604</v>
      </c>
      <c r="P47" s="370">
        <f t="shared" si="25"/>
        <v>2.5936395611676577</v>
      </c>
      <c r="Q47" s="372">
        <f t="shared" si="26"/>
        <v>13.643840634889408</v>
      </c>
      <c r="R47" s="371">
        <f t="shared" si="27"/>
        <v>13.636645642534583</v>
      </c>
      <c r="S47" s="371">
        <f t="shared" si="28"/>
        <v>13.988345319929062</v>
      </c>
      <c r="T47" s="371">
        <f t="shared" si="29"/>
        <v>13.938329074926461</v>
      </c>
      <c r="U47" s="370">
        <f t="shared" si="30"/>
        <v>13.587600372599756</v>
      </c>
    </row>
    <row r="48" spans="1:48" ht="15" customHeight="1" outlineLevel="1">
      <c r="A48" s="373">
        <v>9</v>
      </c>
      <c r="B48" s="385">
        <f t="shared" si="31"/>
        <v>-3.7859807250613109E-3</v>
      </c>
      <c r="C48" s="384">
        <f t="shared" si="32"/>
        <v>-0.11345802957843538</v>
      </c>
      <c r="D48" s="384">
        <f t="shared" si="33"/>
        <v>-0.28242569191827871</v>
      </c>
      <c r="E48" s="384">
        <f t="shared" si="34"/>
        <v>-1.4450230627481506E-2</v>
      </c>
      <c r="F48" s="383">
        <f t="shared" si="35"/>
        <v>-2.5870621097667801E-3</v>
      </c>
      <c r="G48" s="372">
        <f t="shared" si="16"/>
        <v>49.472010862400928</v>
      </c>
      <c r="H48" s="371">
        <f t="shared" si="17"/>
        <v>49.406436906559421</v>
      </c>
      <c r="I48" s="371">
        <f t="shared" si="18"/>
        <v>57.368276808208329</v>
      </c>
      <c r="J48" s="371">
        <f t="shared" si="19"/>
        <v>50.745029860798809</v>
      </c>
      <c r="K48" s="370">
        <f t="shared" si="20"/>
        <v>49.72938527301104</v>
      </c>
      <c r="L48" s="372">
        <f t="shared" si="21"/>
        <v>2.596114802090896</v>
      </c>
      <c r="M48" s="371">
        <f t="shared" si="22"/>
        <v>2.6248676304295291</v>
      </c>
      <c r="N48" s="371">
        <f t="shared" si="23"/>
        <v>3.6941147132935175</v>
      </c>
      <c r="O48" s="371">
        <f t="shared" si="24"/>
        <v>3.4861161698988421</v>
      </c>
      <c r="P48" s="370">
        <f t="shared" si="25"/>
        <v>2.5206223259413791</v>
      </c>
      <c r="Q48" s="372">
        <f t="shared" si="26"/>
        <v>13.588073070816719</v>
      </c>
      <c r="R48" s="371">
        <f t="shared" si="27"/>
        <v>13.593595837360171</v>
      </c>
      <c r="S48" s="371">
        <f t="shared" si="28"/>
        <v>13.839884436916034</v>
      </c>
      <c r="T48" s="371">
        <f t="shared" si="29"/>
        <v>13.785823285616612</v>
      </c>
      <c r="U48" s="370">
        <f t="shared" si="30"/>
        <v>13.573851871235856</v>
      </c>
    </row>
    <row r="49" spans="1:21" ht="15" customHeight="1" outlineLevel="1">
      <c r="A49" s="373">
        <v>10</v>
      </c>
      <c r="B49" s="385">
        <f t="shared" si="31"/>
        <v>8.3463037353884162E-4</v>
      </c>
      <c r="C49" s="384">
        <f t="shared" si="32"/>
        <v>-2.4432744820918978E-2</v>
      </c>
      <c r="D49" s="384">
        <f t="shared" si="33"/>
        <v>-0.21136943607885053</v>
      </c>
      <c r="E49" s="384">
        <f t="shared" si="34"/>
        <v>-9.8994550661713442E-3</v>
      </c>
      <c r="F49" s="383">
        <f t="shared" si="35"/>
        <v>0.14471569467169187</v>
      </c>
      <c r="G49" s="372">
        <f t="shared" si="16"/>
        <v>49.758978383748492</v>
      </c>
      <c r="H49" s="371">
        <f t="shared" si="17"/>
        <v>49.642387001748261</v>
      </c>
      <c r="I49" s="371">
        <f t="shared" si="18"/>
        <v>55.440791067270304</v>
      </c>
      <c r="J49" s="371">
        <f t="shared" si="19"/>
        <v>50.418170661565242</v>
      </c>
      <c r="K49" s="370">
        <f t="shared" si="20"/>
        <v>48.462941316178572</v>
      </c>
      <c r="L49" s="372">
        <f t="shared" si="21"/>
        <v>2.5243224457640281</v>
      </c>
      <c r="M49" s="371">
        <f t="shared" si="22"/>
        <v>2.5255307284410597</v>
      </c>
      <c r="N49" s="371">
        <f t="shared" si="23"/>
        <v>3.230845894107484</v>
      </c>
      <c r="O49" s="371">
        <f t="shared" si="24"/>
        <v>3.012525431499435</v>
      </c>
      <c r="P49" s="370">
        <f t="shared" si="25"/>
        <v>2.5887491969376986</v>
      </c>
      <c r="Q49" s="372">
        <f t="shared" si="26"/>
        <v>13.574539458943242</v>
      </c>
      <c r="R49" s="371">
        <f t="shared" si="27"/>
        <v>13.574764203201433</v>
      </c>
      <c r="S49" s="371">
        <f t="shared" si="28"/>
        <v>13.723493830059828</v>
      </c>
      <c r="T49" s="371">
        <f t="shared" si="29"/>
        <v>13.673742252494375</v>
      </c>
      <c r="U49" s="370">
        <f t="shared" si="30"/>
        <v>13.586667734101125</v>
      </c>
    </row>
    <row r="50" spans="1:21" ht="15" customHeight="1" outlineLevel="1">
      <c r="A50" s="373">
        <v>11</v>
      </c>
      <c r="B50" s="385">
        <f t="shared" si="31"/>
        <v>5.4552414721389941E-3</v>
      </c>
      <c r="C50" s="384">
        <f t="shared" si="32"/>
        <v>6.4592539936597429E-2</v>
      </c>
      <c r="D50" s="384">
        <f t="shared" si="33"/>
        <v>-0.14031318023942235</v>
      </c>
      <c r="E50" s="384">
        <f t="shared" si="34"/>
        <v>-5.3486795048611835E-3</v>
      </c>
      <c r="F50" s="383">
        <f t="shared" si="35"/>
        <v>0.29201845145315053</v>
      </c>
      <c r="G50" s="372">
        <f t="shared" si="16"/>
        <v>50.045945905096055</v>
      </c>
      <c r="H50" s="371">
        <f t="shared" si="17"/>
        <v>49.878337096937102</v>
      </c>
      <c r="I50" s="371">
        <f t="shared" si="18"/>
        <v>53.513305326332279</v>
      </c>
      <c r="J50" s="371">
        <f t="shared" si="19"/>
        <v>50.091311462331682</v>
      </c>
      <c r="K50" s="370">
        <f t="shared" si="20"/>
        <v>47.196497359346111</v>
      </c>
      <c r="L50" s="372">
        <f t="shared" si="21"/>
        <v>2.6750036993802935</v>
      </c>
      <c r="M50" s="371">
        <f t="shared" si="22"/>
        <v>2.5548606257305599</v>
      </c>
      <c r="N50" s="371">
        <f t="shared" si="23"/>
        <v>2.8554390392478806</v>
      </c>
      <c r="O50" s="371">
        <f t="shared" si="24"/>
        <v>2.6735763061718214</v>
      </c>
      <c r="P50" s="370">
        <f t="shared" si="25"/>
        <v>2.7876912772199702</v>
      </c>
      <c r="Q50" s="372">
        <f t="shared" si="26"/>
        <v>13.603365852020495</v>
      </c>
      <c r="R50" s="371">
        <f t="shared" si="27"/>
        <v>13.580251489907223</v>
      </c>
      <c r="S50" s="371">
        <f t="shared" si="28"/>
        <v>13.639994494833196</v>
      </c>
      <c r="T50" s="371">
        <f t="shared" si="29"/>
        <v>13.603085237443098</v>
      </c>
      <c r="U50" s="370">
        <f t="shared" si="30"/>
        <v>13.625973006332698</v>
      </c>
    </row>
    <row r="51" spans="1:21" ht="15" customHeight="1" outlineLevel="1">
      <c r="A51" s="373">
        <v>12</v>
      </c>
      <c r="B51" s="385">
        <f t="shared" si="31"/>
        <v>1.0075852570739147E-2</v>
      </c>
      <c r="C51" s="384">
        <f t="shared" si="32"/>
        <v>0.15361782469411384</v>
      </c>
      <c r="D51" s="384">
        <f t="shared" si="33"/>
        <v>-6.9256924399994174E-2</v>
      </c>
      <c r="E51" s="384">
        <f t="shared" si="34"/>
        <v>-7.9790394355102288E-4</v>
      </c>
      <c r="F51" s="383">
        <f t="shared" si="35"/>
        <v>0.43932120823460918</v>
      </c>
      <c r="G51" s="372">
        <f t="shared" si="16"/>
        <v>50.332913426443618</v>
      </c>
      <c r="H51" s="371">
        <f t="shared" si="17"/>
        <v>50.114287192125943</v>
      </c>
      <c r="I51" s="371">
        <f t="shared" si="18"/>
        <v>51.585819585394255</v>
      </c>
      <c r="J51" s="371">
        <f t="shared" si="19"/>
        <v>49.764452263098121</v>
      </c>
      <c r="K51" s="370">
        <f t="shared" si="20"/>
        <v>45.930053402513643</v>
      </c>
      <c r="L51" s="372">
        <f t="shared" si="21"/>
        <v>3.0149850762758286</v>
      </c>
      <c r="M51" s="371">
        <f t="shared" si="22"/>
        <v>2.7086808869081809</v>
      </c>
      <c r="N51" s="371">
        <f t="shared" si="23"/>
        <v>2.6061435611149011</v>
      </c>
      <c r="O51" s="371">
        <f t="shared" si="24"/>
        <v>2.5241054491656425</v>
      </c>
      <c r="P51" s="370">
        <f t="shared" si="25"/>
        <v>3.0923029714700205</v>
      </c>
      <c r="Q51" s="372">
        <f t="shared" si="26"/>
        <v>13.674284358692596</v>
      </c>
      <c r="R51" s="371">
        <f t="shared" si="27"/>
        <v>13.610028282825892</v>
      </c>
      <c r="S51" s="371">
        <f t="shared" si="28"/>
        <v>13.589992714249691</v>
      </c>
      <c r="T51" s="371">
        <f t="shared" si="29"/>
        <v>13.574499107912848</v>
      </c>
      <c r="U51" s="370">
        <f t="shared" si="30"/>
        <v>13.691539554760864</v>
      </c>
    </row>
    <row r="52" spans="1:21" ht="15" customHeight="1" outlineLevel="1">
      <c r="A52" s="373">
        <v>13</v>
      </c>
      <c r="B52" s="385">
        <f t="shared" si="31"/>
        <v>1.4696463669339299E-2</v>
      </c>
      <c r="C52" s="384">
        <f t="shared" si="32"/>
        <v>0.24264310945163026</v>
      </c>
      <c r="D52" s="384">
        <f t="shared" si="33"/>
        <v>1.7993314394340043E-3</v>
      </c>
      <c r="E52" s="384">
        <f t="shared" si="34"/>
        <v>3.7528716177591378E-3</v>
      </c>
      <c r="F52" s="383">
        <f t="shared" si="35"/>
        <v>0.58662396501606784</v>
      </c>
      <c r="G52" s="372">
        <f t="shared" si="16"/>
        <v>50.619880947791181</v>
      </c>
      <c r="H52" s="371">
        <f t="shared" si="17"/>
        <v>50.350237287314783</v>
      </c>
      <c r="I52" s="371">
        <f t="shared" si="18"/>
        <v>49.65833384445623</v>
      </c>
      <c r="J52" s="371">
        <f t="shared" si="19"/>
        <v>49.437593063864554</v>
      </c>
      <c r="K52" s="370">
        <f t="shared" si="20"/>
        <v>44.663609445681175</v>
      </c>
      <c r="L52" s="372">
        <f t="shared" si="21"/>
        <v>3.4893659116795437</v>
      </c>
      <c r="M52" s="371">
        <f t="shared" si="22"/>
        <v>2.9676966574904604</v>
      </c>
      <c r="N52" s="371">
        <f t="shared" si="23"/>
        <v>2.5206589722353541</v>
      </c>
      <c r="O52" s="371">
        <f t="shared" si="24"/>
        <v>2.5970374730033914</v>
      </c>
      <c r="P52" s="370">
        <f t="shared" si="25"/>
        <v>3.474905385110163</v>
      </c>
      <c r="Q52" s="372">
        <f t="shared" si="26"/>
        <v>13.78664542874046</v>
      </c>
      <c r="R52" s="371">
        <f t="shared" si="27"/>
        <v>13.663935785969541</v>
      </c>
      <c r="S52" s="371">
        <f t="shared" si="28"/>
        <v>13.573858676387111</v>
      </c>
      <c r="T52" s="371">
        <f t="shared" si="29"/>
        <v>13.588249384979761</v>
      </c>
      <c r="U52" s="370">
        <f t="shared" si="30"/>
        <v>13.782992604934773</v>
      </c>
    </row>
    <row r="53" spans="1:21" ht="15" customHeight="1" outlineLevel="1">
      <c r="A53" s="373">
        <v>14</v>
      </c>
      <c r="B53" s="385">
        <f t="shared" si="31"/>
        <v>1.9317074767939452E-2</v>
      </c>
      <c r="C53" s="384">
        <f t="shared" si="32"/>
        <v>0.33166839420914668</v>
      </c>
      <c r="D53" s="384">
        <f t="shared" si="33"/>
        <v>7.2855587278862183E-2</v>
      </c>
      <c r="E53" s="384">
        <f t="shared" si="34"/>
        <v>8.3036471790692984E-3</v>
      </c>
      <c r="F53" s="383">
        <f t="shared" si="35"/>
        <v>0.73392672179752649</v>
      </c>
      <c r="G53" s="372">
        <f t="shared" si="16"/>
        <v>50.906848469138744</v>
      </c>
      <c r="H53" s="371">
        <f t="shared" si="17"/>
        <v>50.586187382503624</v>
      </c>
      <c r="I53" s="371">
        <f t="shared" si="18"/>
        <v>47.730848103518206</v>
      </c>
      <c r="J53" s="371">
        <f t="shared" si="19"/>
        <v>49.110733864630994</v>
      </c>
      <c r="K53" s="370">
        <f t="shared" si="20"/>
        <v>43.397165488848714</v>
      </c>
      <c r="L53" s="372">
        <f t="shared" si="21"/>
        <v>4.0512051488383056</v>
      </c>
      <c r="M53" s="371">
        <f t="shared" si="22"/>
        <v>3.3072838898775285</v>
      </c>
      <c r="N53" s="371">
        <f t="shared" si="23"/>
        <v>2.6150992880521104</v>
      </c>
      <c r="O53" s="371">
        <f t="shared" si="24"/>
        <v>2.8754992988960737</v>
      </c>
      <c r="P53" s="370">
        <f t="shared" si="25"/>
        <v>3.9126860289836927</v>
      </c>
      <c r="Q53" s="372">
        <f t="shared" si="26"/>
        <v>13.939446935592281</v>
      </c>
      <c r="R53" s="371">
        <f t="shared" si="27"/>
        <v>13.741690013985266</v>
      </c>
      <c r="S53" s="371">
        <f t="shared" si="28"/>
        <v>13.591712989854873</v>
      </c>
      <c r="T53" s="371">
        <f t="shared" si="29"/>
        <v>13.644208072664782</v>
      </c>
      <c r="U53" s="370">
        <f t="shared" si="30"/>
        <v>13.899821210131561</v>
      </c>
    </row>
    <row r="54" spans="1:21" ht="15" customHeight="1" outlineLevel="1">
      <c r="A54" s="373">
        <v>15</v>
      </c>
      <c r="B54" s="385">
        <f t="shared" si="31"/>
        <v>2.3937685866539604E-2</v>
      </c>
      <c r="C54" s="384">
        <f t="shared" si="32"/>
        <v>0.4206936789666631</v>
      </c>
      <c r="D54" s="384">
        <f t="shared" si="33"/>
        <v>0.14391184311829036</v>
      </c>
      <c r="E54" s="384">
        <f t="shared" si="34"/>
        <v>1.285442274037946E-2</v>
      </c>
      <c r="F54" s="383">
        <f t="shared" si="35"/>
        <v>0.88122947857898515</v>
      </c>
      <c r="G54" s="372">
        <f t="shared" si="16"/>
        <v>51.193815990486307</v>
      </c>
      <c r="H54" s="371">
        <f t="shared" si="17"/>
        <v>50.822137477692458</v>
      </c>
      <c r="I54" s="371">
        <f t="shared" si="18"/>
        <v>45.803362362580188</v>
      </c>
      <c r="J54" s="371">
        <f t="shared" si="19"/>
        <v>48.783874665397434</v>
      </c>
      <c r="K54" s="370">
        <f t="shared" si="20"/>
        <v>42.130721532016246</v>
      </c>
      <c r="L54" s="372">
        <f t="shared" si="21"/>
        <v>4.6690364195746357</v>
      </c>
      <c r="M54" s="371">
        <f t="shared" si="22"/>
        <v>3.7053558505482087</v>
      </c>
      <c r="N54" s="371">
        <f t="shared" si="23"/>
        <v>2.8717681238778403</v>
      </c>
      <c r="O54" s="371">
        <f t="shared" si="24"/>
        <v>3.307988220023101</v>
      </c>
      <c r="P54" s="370">
        <f t="shared" si="25"/>
        <v>4.3891652105123624</v>
      </c>
      <c r="Q54" s="372">
        <f t="shared" si="26"/>
        <v>14.131377102021352</v>
      </c>
      <c r="R54" s="371">
        <f t="shared" si="27"/>
        <v>13.842889138160821</v>
      </c>
      <c r="S54" s="371">
        <f t="shared" si="28"/>
        <v>13.64342221986624</v>
      </c>
      <c r="T54" s="371">
        <f t="shared" si="29"/>
        <v>13.741859545783118</v>
      </c>
      <c r="U54" s="370">
        <f t="shared" si="30"/>
        <v>14.041391987883218</v>
      </c>
    </row>
    <row r="55" spans="1:21" ht="15" customHeight="1" outlineLevel="1">
      <c r="A55" s="373">
        <v>16</v>
      </c>
      <c r="B55" s="385">
        <f t="shared" si="31"/>
        <v>2.8558296965139757E-2</v>
      </c>
      <c r="C55" s="384">
        <f t="shared" si="32"/>
        <v>0.50971896372417946</v>
      </c>
      <c r="D55" s="384">
        <f t="shared" si="33"/>
        <v>0.21496809895771854</v>
      </c>
      <c r="E55" s="384">
        <f t="shared" si="34"/>
        <v>1.7405198301689621E-2</v>
      </c>
      <c r="F55" s="383">
        <f t="shared" si="35"/>
        <v>1.0285322353604438</v>
      </c>
      <c r="G55" s="372">
        <f t="shared" si="16"/>
        <v>51.48078351183387</v>
      </c>
      <c r="H55" s="371">
        <f t="shared" si="17"/>
        <v>51.058087572881298</v>
      </c>
      <c r="I55" s="371">
        <f t="shared" si="18"/>
        <v>43.875876621642163</v>
      </c>
      <c r="J55" s="371">
        <f t="shared" si="19"/>
        <v>48.457015466163867</v>
      </c>
      <c r="K55" s="370">
        <f t="shared" si="20"/>
        <v>40.864277575183785</v>
      </c>
      <c r="L55" s="372">
        <f t="shared" si="21"/>
        <v>5.3234000651474798</v>
      </c>
      <c r="M55" s="371">
        <f t="shared" si="22"/>
        <v>4.1450970077581131</v>
      </c>
      <c r="N55" s="371">
        <f t="shared" si="23"/>
        <v>3.2524829387963243</v>
      </c>
      <c r="O55" s="371">
        <f t="shared" si="24"/>
        <v>3.8428470140981696</v>
      </c>
      <c r="P55" s="370">
        <f t="shared" si="25"/>
        <v>4.8930507136929577</v>
      </c>
      <c r="Q55" s="372">
        <f t="shared" si="26"/>
        <v>14.360867173183911</v>
      </c>
      <c r="R55" s="371">
        <f t="shared" si="27"/>
        <v>13.967023552494794</v>
      </c>
      <c r="S55" s="371">
        <f t="shared" si="28"/>
        <v>13.72860382483886</v>
      </c>
      <c r="T55" s="371">
        <f t="shared" si="29"/>
        <v>13.880323875399387</v>
      </c>
      <c r="U55" s="370">
        <f t="shared" si="30"/>
        <v>14.206965298718449</v>
      </c>
    </row>
    <row r="56" spans="1:21" ht="15" customHeight="1" outlineLevel="1">
      <c r="A56" s="373">
        <v>17</v>
      </c>
      <c r="B56" s="385">
        <f t="shared" si="31"/>
        <v>3.3178908063739909E-2</v>
      </c>
      <c r="C56" s="384">
        <f t="shared" si="32"/>
        <v>0.59874424848169583</v>
      </c>
      <c r="D56" s="384">
        <f t="shared" si="33"/>
        <v>0.28602435479714672</v>
      </c>
      <c r="E56" s="384">
        <f t="shared" si="34"/>
        <v>2.1955973862999783E-2</v>
      </c>
      <c r="F56" s="383">
        <f t="shared" si="35"/>
        <v>1.1758349921419025</v>
      </c>
      <c r="G56" s="372">
        <f t="shared" si="16"/>
        <v>51.767751033181433</v>
      </c>
      <c r="H56" s="371">
        <f t="shared" si="17"/>
        <v>51.294037668070139</v>
      </c>
      <c r="I56" s="371">
        <f t="shared" si="18"/>
        <v>41.948390880704139</v>
      </c>
      <c r="J56" s="371">
        <f t="shared" si="19"/>
        <v>48.130156266930307</v>
      </c>
      <c r="K56" s="370">
        <f t="shared" si="20"/>
        <v>39.597833618351316</v>
      </c>
      <c r="L56" s="372">
        <f t="shared" si="21"/>
        <v>6.0023599239688714</v>
      </c>
      <c r="M56" s="371">
        <f t="shared" si="22"/>
        <v>4.6146103196091985</v>
      </c>
      <c r="N56" s="371">
        <f t="shared" si="23"/>
        <v>3.71934451427824</v>
      </c>
      <c r="O56" s="371">
        <f t="shared" si="24"/>
        <v>4.443259788466869</v>
      </c>
      <c r="P56" s="370">
        <f t="shared" si="25"/>
        <v>5.4166995565751641</v>
      </c>
      <c r="Q56" s="372">
        <f t="shared" si="26"/>
        <v>14.626149266607619</v>
      </c>
      <c r="R56" s="371">
        <f t="shared" si="27"/>
        <v>14.113488091682465</v>
      </c>
      <c r="S56" s="371">
        <f t="shared" si="28"/>
        <v>13.846640073610301</v>
      </c>
      <c r="T56" s="371">
        <f t="shared" si="29"/>
        <v>14.058395187930438</v>
      </c>
      <c r="U56" s="370">
        <f t="shared" si="30"/>
        <v>14.395712965963881</v>
      </c>
    </row>
    <row r="57" spans="1:21" ht="15" customHeight="1" outlineLevel="1">
      <c r="A57" s="373">
        <v>18</v>
      </c>
      <c r="B57" s="385">
        <f t="shared" si="31"/>
        <v>3.7799519162340062E-2</v>
      </c>
      <c r="C57" s="384">
        <f t="shared" si="32"/>
        <v>0.68776953323921219</v>
      </c>
      <c r="D57" s="384">
        <f t="shared" si="33"/>
        <v>0.35708061063657492</v>
      </c>
      <c r="E57" s="384">
        <f t="shared" si="34"/>
        <v>2.6506749424309944E-2</v>
      </c>
      <c r="F57" s="383">
        <f t="shared" si="35"/>
        <v>1.3231377489233611</v>
      </c>
      <c r="G57" s="372">
        <f t="shared" si="16"/>
        <v>52.054718554528996</v>
      </c>
      <c r="H57" s="371">
        <f t="shared" si="17"/>
        <v>51.52998776325898</v>
      </c>
      <c r="I57" s="371">
        <f t="shared" si="18"/>
        <v>40.020905139766114</v>
      </c>
      <c r="J57" s="371">
        <f t="shared" si="19"/>
        <v>47.803297067696747</v>
      </c>
      <c r="K57" s="370">
        <f t="shared" si="20"/>
        <v>38.331389661518855</v>
      </c>
      <c r="L57" s="372">
        <f t="shared" si="21"/>
        <v>6.6984408855404958</v>
      </c>
      <c r="M57" s="371">
        <f t="shared" si="22"/>
        <v>5.1056889421063616</v>
      </c>
      <c r="N57" s="371">
        <f t="shared" si="23"/>
        <v>4.244017813760002</v>
      </c>
      <c r="O57" s="371">
        <f t="shared" si="24"/>
        <v>5.0860632306275857</v>
      </c>
      <c r="P57" s="370">
        <f t="shared" si="25"/>
        <v>5.9549003050817957</v>
      </c>
      <c r="Q57" s="372">
        <f t="shared" si="26"/>
        <v>14.925315005362519</v>
      </c>
      <c r="R57" s="371">
        <f t="shared" si="27"/>
        <v>14.281595754178388</v>
      </c>
      <c r="S57" s="371">
        <f t="shared" si="28"/>
        <v>13.996699786582951</v>
      </c>
      <c r="T57" s="371">
        <f t="shared" si="29"/>
        <v>14.274591304067551</v>
      </c>
      <c r="U57" s="370">
        <f t="shared" si="30"/>
        <v>14.606736642922069</v>
      </c>
    </row>
    <row r="58" spans="1:21" ht="15" customHeight="1" outlineLevel="1">
      <c r="A58" s="373">
        <v>19</v>
      </c>
      <c r="B58" s="385">
        <f t="shared" si="31"/>
        <v>4.2420130260940214E-2</v>
      </c>
      <c r="C58" s="384">
        <f t="shared" si="32"/>
        <v>0.77679481799672856</v>
      </c>
      <c r="D58" s="384">
        <f t="shared" si="33"/>
        <v>0.42813686647600313</v>
      </c>
      <c r="E58" s="384">
        <f t="shared" si="34"/>
        <v>3.1057524985620106E-2</v>
      </c>
      <c r="F58" s="383">
        <f t="shared" si="35"/>
        <v>1.4704405057048198</v>
      </c>
      <c r="G58" s="372">
        <f t="shared" si="16"/>
        <v>52.341686075876559</v>
      </c>
      <c r="H58" s="371">
        <f t="shared" si="17"/>
        <v>51.76593785844782</v>
      </c>
      <c r="I58" s="371">
        <f t="shared" si="18"/>
        <v>38.09341939882809</v>
      </c>
      <c r="J58" s="371">
        <f t="shared" si="19"/>
        <v>47.476437868463179</v>
      </c>
      <c r="K58" s="370">
        <f t="shared" si="20"/>
        <v>37.064945704686387</v>
      </c>
      <c r="L58" s="372">
        <f t="shared" si="21"/>
        <v>7.406817479474638</v>
      </c>
      <c r="M58" s="371">
        <f t="shared" si="22"/>
        <v>5.612675183799225</v>
      </c>
      <c r="N58" s="371">
        <f t="shared" si="23"/>
        <v>4.8076123003028171</v>
      </c>
      <c r="O58" s="371">
        <f t="shared" si="24"/>
        <v>5.7570754804995383</v>
      </c>
      <c r="P58" s="370">
        <f t="shared" si="25"/>
        <v>6.5040415095966484</v>
      </c>
      <c r="Q58" s="372">
        <f t="shared" si="26"/>
        <v>15.256371222753792</v>
      </c>
      <c r="R58" s="371">
        <f t="shared" si="27"/>
        <v>14.470592262621965</v>
      </c>
      <c r="S58" s="371">
        <f t="shared" si="28"/>
        <v>14.177766176032174</v>
      </c>
      <c r="T58" s="371">
        <f t="shared" si="29"/>
        <v>14.527210186418726</v>
      </c>
      <c r="U58" s="370">
        <f t="shared" si="30"/>
        <v>14.839086011974432</v>
      </c>
    </row>
    <row r="59" spans="1:21" ht="15" customHeight="1" outlineLevel="1">
      <c r="A59" s="373">
        <v>20</v>
      </c>
      <c r="B59" s="385">
        <f t="shared" si="31"/>
        <v>4.7040741359540367E-2</v>
      </c>
      <c r="C59" s="384">
        <f t="shared" si="32"/>
        <v>0.86582010275424492</v>
      </c>
      <c r="D59" s="384">
        <f t="shared" si="33"/>
        <v>0.49919312231543134</v>
      </c>
      <c r="E59" s="384">
        <f t="shared" si="34"/>
        <v>3.5608300546930267E-2</v>
      </c>
      <c r="F59" s="383">
        <f t="shared" si="35"/>
        <v>1.6177432624862784</v>
      </c>
      <c r="G59" s="372">
        <f t="shared" si="16"/>
        <v>52.628653597224123</v>
      </c>
      <c r="H59" s="371">
        <f t="shared" si="17"/>
        <v>52.001887953636661</v>
      </c>
      <c r="I59" s="371">
        <f t="shared" si="18"/>
        <v>36.165933657890065</v>
      </c>
      <c r="J59" s="371">
        <f t="shared" si="19"/>
        <v>47.149578669229619</v>
      </c>
      <c r="K59" s="370">
        <f t="shared" si="20"/>
        <v>35.798501747853919</v>
      </c>
      <c r="L59" s="372">
        <f t="shared" si="21"/>
        <v>8.124274077625584</v>
      </c>
      <c r="M59" s="371">
        <f t="shared" si="22"/>
        <v>6.1316244044877024</v>
      </c>
      <c r="N59" s="371">
        <f t="shared" si="23"/>
        <v>5.3979505458482855</v>
      </c>
      <c r="O59" s="371">
        <f t="shared" si="24"/>
        <v>6.4474951922810995</v>
      </c>
      <c r="P59" s="370">
        <f t="shared" si="25"/>
        <v>7.0615712862988564</v>
      </c>
      <c r="Q59" s="372">
        <f t="shared" si="26"/>
        <v>15.617290001808831</v>
      </c>
      <c r="R59" s="371">
        <f t="shared" si="27"/>
        <v>14.679670825666639</v>
      </c>
      <c r="S59" s="371">
        <f t="shared" si="28"/>
        <v>14.388668729512219</v>
      </c>
      <c r="T59" s="371">
        <f t="shared" si="29"/>
        <v>14.814388680155078</v>
      </c>
      <c r="U59" s="370">
        <f t="shared" si="30"/>
        <v>15.091776129524964</v>
      </c>
    </row>
    <row r="60" spans="1:21" ht="15" customHeight="1" outlineLevel="1">
      <c r="A60" s="369">
        <v>21</v>
      </c>
      <c r="B60" s="382">
        <f t="shared" si="31"/>
        <v>5.1661352458140519E-2</v>
      </c>
      <c r="C60" s="381">
        <f t="shared" si="32"/>
        <v>0.95484538751176129</v>
      </c>
      <c r="D60" s="381">
        <f t="shared" si="33"/>
        <v>0.57024937815485954</v>
      </c>
      <c r="E60" s="381">
        <f t="shared" si="34"/>
        <v>4.0159076108240425E-2</v>
      </c>
      <c r="F60" s="380">
        <f t="shared" si="35"/>
        <v>1.7650460192677371</v>
      </c>
      <c r="G60" s="368">
        <f t="shared" si="16"/>
        <v>52.915621118571686</v>
      </c>
      <c r="H60" s="367">
        <f t="shared" si="17"/>
        <v>52.237838048825502</v>
      </c>
      <c r="I60" s="367">
        <f t="shared" si="18"/>
        <v>34.23844791695204</v>
      </c>
      <c r="J60" s="367">
        <f t="shared" si="19"/>
        <v>46.822719469996059</v>
      </c>
      <c r="K60" s="366">
        <f t="shared" si="20"/>
        <v>34.532057791021458</v>
      </c>
      <c r="L60" s="368">
        <f t="shared" si="21"/>
        <v>8.8486022986381627</v>
      </c>
      <c r="M60" s="367">
        <f t="shared" si="22"/>
        <v>6.6597406053214794</v>
      </c>
      <c r="N60" s="367">
        <f t="shared" si="23"/>
        <v>6.0071531859704379</v>
      </c>
      <c r="O60" s="367">
        <f t="shared" si="24"/>
        <v>7.1517038308992218</v>
      </c>
      <c r="P60" s="366">
        <f t="shared" si="25"/>
        <v>7.6256499304804182</v>
      </c>
      <c r="Q60" s="368">
        <f t="shared" si="26"/>
        <v>16.006051366645167</v>
      </c>
      <c r="R60" s="367">
        <f t="shared" si="27"/>
        <v>14.907986538845101</v>
      </c>
      <c r="S60" s="367">
        <f t="shared" si="28"/>
        <v>14.628117004998757</v>
      </c>
      <c r="T60" s="367">
        <f t="shared" si="29"/>
        <v>15.134159553708876</v>
      </c>
      <c r="U60" s="366">
        <f t="shared" si="30"/>
        <v>15.363803388954672</v>
      </c>
    </row>
    <row r="61" spans="1:21" ht="15" customHeight="1" outlineLevel="1">
      <c r="A61" s="600" t="s">
        <v>10</v>
      </c>
      <c r="B61" s="379">
        <v>1</v>
      </c>
      <c r="C61" s="378">
        <v>2</v>
      </c>
      <c r="D61" s="378">
        <v>3</v>
      </c>
      <c r="E61" s="378">
        <v>4</v>
      </c>
      <c r="F61" s="377">
        <v>5</v>
      </c>
      <c r="G61" s="379">
        <v>1</v>
      </c>
      <c r="H61" s="378">
        <v>2</v>
      </c>
      <c r="I61" s="378">
        <v>3</v>
      </c>
      <c r="J61" s="378">
        <v>4</v>
      </c>
      <c r="K61" s="377">
        <v>5</v>
      </c>
      <c r="L61" s="379">
        <v>1</v>
      </c>
      <c r="M61" s="378">
        <v>2</v>
      </c>
      <c r="N61" s="378">
        <v>3</v>
      </c>
      <c r="O61" s="378">
        <v>4</v>
      </c>
      <c r="P61" s="377">
        <v>5</v>
      </c>
      <c r="Q61" s="379">
        <v>1</v>
      </c>
      <c r="R61" s="378">
        <v>2</v>
      </c>
      <c r="S61" s="378">
        <v>3</v>
      </c>
      <c r="T61" s="378">
        <v>4</v>
      </c>
      <c r="U61" s="377">
        <v>5</v>
      </c>
    </row>
    <row r="62" spans="1:21" ht="15" customHeight="1" outlineLevel="1">
      <c r="A62" s="601"/>
      <c r="B62" s="590" t="s">
        <v>123</v>
      </c>
      <c r="C62" s="591"/>
      <c r="D62" s="591"/>
      <c r="E62" s="591"/>
      <c r="F62" s="592"/>
      <c r="G62" s="590" t="s">
        <v>122</v>
      </c>
      <c r="H62" s="591"/>
      <c r="I62" s="591"/>
      <c r="J62" s="591"/>
      <c r="K62" s="592"/>
      <c r="L62" s="590" t="s">
        <v>121</v>
      </c>
      <c r="M62" s="591"/>
      <c r="N62" s="591"/>
      <c r="O62" s="591"/>
      <c r="P62" s="592"/>
      <c r="Q62" s="590" t="s">
        <v>120</v>
      </c>
      <c r="R62" s="591"/>
      <c r="S62" s="591"/>
      <c r="T62" s="591"/>
      <c r="U62" s="592"/>
    </row>
    <row r="63" spans="1:21" ht="15" customHeight="1" outlineLevel="1">
      <c r="A63" s="373">
        <v>1</v>
      </c>
      <c r="B63" s="376">
        <f t="shared" ref="B63:B83" si="36">G40-L40</f>
        <v>40.02655386927804</v>
      </c>
      <c r="C63" s="375">
        <f t="shared" ref="C63:C83" si="37">H40-M40</f>
        <v>41.622593437853617</v>
      </c>
      <c r="D63" s="375">
        <f t="shared" ref="D63:D83" si="38">I40-N40</f>
        <v>64.270551644390025</v>
      </c>
      <c r="E63" s="375">
        <f t="shared" ref="E63:E83" si="39">J40-O40</f>
        <v>44.517455871891919</v>
      </c>
      <c r="F63" s="374">
        <f t="shared" ref="F63:F83" si="40">K40-P40</f>
        <v>54.425554306817965</v>
      </c>
      <c r="G63" s="376">
        <f t="shared" ref="G63:G83" si="41">G40+L40</f>
        <v>54.325987513962822</v>
      </c>
      <c r="H63" s="375">
        <f t="shared" ref="H63:H83" si="42">H40+M40</f>
        <v>53.415078852243774</v>
      </c>
      <c r="I63" s="375">
        <f t="shared" ref="I63:I83" si="43">I40+N40</f>
        <v>81.30577382703504</v>
      </c>
      <c r="J63" s="375">
        <f t="shared" ref="J63:J83" si="44">J40+O40</f>
        <v>62.202351037442689</v>
      </c>
      <c r="K63" s="374">
        <f t="shared" ref="K63:K83" si="45">K40+P40</f>
        <v>65.296319548523556</v>
      </c>
      <c r="L63" s="376">
        <f t="shared" ref="L63:L83" si="46">G40-Q40</f>
        <v>32.04305000493563</v>
      </c>
      <c r="M63" s="375">
        <f t="shared" ref="M63:M83" si="47">H40-R40</f>
        <v>32.935914771936581</v>
      </c>
      <c r="N63" s="375">
        <f t="shared" ref="N63:N83" si="48">I40-S40</f>
        <v>56.96268908039216</v>
      </c>
      <c r="O63" s="375">
        <f t="shared" ref="O63:O83" si="49">J40-T40</f>
        <v>37.357253768869981</v>
      </c>
      <c r="P63" s="374">
        <f t="shared" ref="P63:P83" si="50">K40-U40</f>
        <v>45.458183651047307</v>
      </c>
      <c r="Q63" s="376">
        <f t="shared" ref="Q63:Q83" si="51">G40+Q40</f>
        <v>62.309491378305232</v>
      </c>
      <c r="R63" s="375">
        <f t="shared" ref="R63:R83" si="52">H40+R40</f>
        <v>62.101757518160809</v>
      </c>
      <c r="S63" s="375">
        <f t="shared" ref="S63:S83" si="53">I40+S40</f>
        <v>88.613636391032912</v>
      </c>
      <c r="T63" s="375">
        <f t="shared" ref="T63:T83" si="54">J40+T40</f>
        <v>69.362553140464627</v>
      </c>
      <c r="U63" s="374">
        <f t="shared" ref="U63:U83" si="55">K40+U40</f>
        <v>74.263690204294221</v>
      </c>
    </row>
    <row r="64" spans="1:21" ht="15" customHeight="1" outlineLevel="1">
      <c r="A64" s="373">
        <v>2</v>
      </c>
      <c r="B64" s="372">
        <f t="shared" si="36"/>
        <v>41.017895049987601</v>
      </c>
      <c r="C64" s="371">
        <f t="shared" si="37"/>
        <v>42.372500698156529</v>
      </c>
      <c r="D64" s="371">
        <f t="shared" si="38"/>
        <v>62.989508182685761</v>
      </c>
      <c r="E64" s="371">
        <f t="shared" si="39"/>
        <v>44.914669746531338</v>
      </c>
      <c r="F64" s="370">
        <f t="shared" si="40"/>
        <v>53.68334731355732</v>
      </c>
      <c r="G64" s="372">
        <f t="shared" si="41"/>
        <v>53.908581375948387</v>
      </c>
      <c r="H64" s="371">
        <f t="shared" si="42"/>
        <v>53.137071782318543</v>
      </c>
      <c r="I64" s="371">
        <f t="shared" si="43"/>
        <v>78.731845806863248</v>
      </c>
      <c r="J64" s="371">
        <f t="shared" si="44"/>
        <v>61.15141876433615</v>
      </c>
      <c r="K64" s="370">
        <f t="shared" si="45"/>
        <v>63.505638628119286</v>
      </c>
      <c r="L64" s="372">
        <f t="shared" si="46"/>
        <v>32.649786008947586</v>
      </c>
      <c r="M64" s="371">
        <f t="shared" si="47"/>
        <v>33.371986951896162</v>
      </c>
      <c r="N64" s="371">
        <f t="shared" si="48"/>
        <v>55.373546331523244</v>
      </c>
      <c r="O64" s="371">
        <f t="shared" si="49"/>
        <v>37.418822456733196</v>
      </c>
      <c r="P64" s="370">
        <f t="shared" si="50"/>
        <v>44.381285402549963</v>
      </c>
      <c r="Q64" s="372">
        <f t="shared" si="51"/>
        <v>62.276690416988401</v>
      </c>
      <c r="R64" s="371">
        <f t="shared" si="52"/>
        <v>62.13758552857891</v>
      </c>
      <c r="S64" s="371">
        <f t="shared" si="53"/>
        <v>86.347807658025772</v>
      </c>
      <c r="T64" s="371">
        <f t="shared" si="54"/>
        <v>68.647266054134292</v>
      </c>
      <c r="U64" s="370">
        <f t="shared" si="55"/>
        <v>72.807700539126643</v>
      </c>
    </row>
    <row r="65" spans="1:21" ht="15" customHeight="1" outlineLevel="1">
      <c r="A65" s="373">
        <v>3</v>
      </c>
      <c r="B65" s="372">
        <f t="shared" si="36"/>
        <v>41.995425497466542</v>
      </c>
      <c r="C65" s="371">
        <f t="shared" si="37"/>
        <v>43.108836170078625</v>
      </c>
      <c r="D65" s="371">
        <f t="shared" si="38"/>
        <v>61.702410972797153</v>
      </c>
      <c r="E65" s="371">
        <f t="shared" si="39"/>
        <v>45.305000870979939</v>
      </c>
      <c r="F65" s="370">
        <f t="shared" si="40"/>
        <v>52.921595354108533</v>
      </c>
      <c r="G65" s="372">
        <f t="shared" si="41"/>
        <v>53.504985971164572</v>
      </c>
      <c r="H65" s="371">
        <f t="shared" si="42"/>
        <v>52.872636500774128</v>
      </c>
      <c r="I65" s="371">
        <f t="shared" si="43"/>
        <v>76.163971534875813</v>
      </c>
      <c r="J65" s="371">
        <f t="shared" si="44"/>
        <v>60.107369241420429</v>
      </c>
      <c r="K65" s="370">
        <f t="shared" si="45"/>
        <v>61.734502673903137</v>
      </c>
      <c r="L65" s="372">
        <f t="shared" si="46"/>
        <v>33.223904990951922</v>
      </c>
      <c r="M65" s="371">
        <f t="shared" si="47"/>
        <v>33.787607562629816</v>
      </c>
      <c r="N65" s="371">
        <f t="shared" si="48"/>
        <v>53.761503767439784</v>
      </c>
      <c r="O65" s="371">
        <f t="shared" si="49"/>
        <v>37.452547947111306</v>
      </c>
      <c r="P65" s="370">
        <f t="shared" si="50"/>
        <v>43.28124327145207</v>
      </c>
      <c r="Q65" s="372">
        <f t="shared" si="51"/>
        <v>62.276506477679192</v>
      </c>
      <c r="R65" s="371">
        <f t="shared" si="52"/>
        <v>62.193865108222937</v>
      </c>
      <c r="S65" s="371">
        <f t="shared" si="53"/>
        <v>84.104878740233175</v>
      </c>
      <c r="T65" s="371">
        <f t="shared" si="54"/>
        <v>67.959822165289069</v>
      </c>
      <c r="U65" s="370">
        <f t="shared" si="55"/>
        <v>71.3748547565596</v>
      </c>
    </row>
    <row r="66" spans="1:21" ht="15" customHeight="1" outlineLevel="1">
      <c r="A66" s="373">
        <v>4</v>
      </c>
      <c r="B66" s="372">
        <f t="shared" si="36"/>
        <v>42.953513953818103</v>
      </c>
      <c r="C66" s="371">
        <f t="shared" si="37"/>
        <v>43.826966807055598</v>
      </c>
      <c r="D66" s="371">
        <f t="shared" si="38"/>
        <v>60.407497141239837</v>
      </c>
      <c r="E66" s="371">
        <f t="shared" si="39"/>
        <v>45.686236339830003</v>
      </c>
      <c r="F66" s="370">
        <f t="shared" si="40"/>
        <v>52.132759068279668</v>
      </c>
      <c r="G66" s="372">
        <f t="shared" si="41"/>
        <v>53.120832557508137</v>
      </c>
      <c r="H66" s="371">
        <f t="shared" si="42"/>
        <v>52.626406054174836</v>
      </c>
      <c r="I66" s="371">
        <f t="shared" si="43"/>
        <v>73.603913884557087</v>
      </c>
      <c r="J66" s="371">
        <f t="shared" si="44"/>
        <v>59.07241537410323</v>
      </c>
      <c r="K66" s="370">
        <f t="shared" si="45"/>
        <v>59.990451046067065</v>
      </c>
      <c r="L66" s="372">
        <f t="shared" si="46"/>
        <v>33.763438299126534</v>
      </c>
      <c r="M66" s="371">
        <f t="shared" si="47"/>
        <v>34.181991685689127</v>
      </c>
      <c r="N66" s="371">
        <f t="shared" si="48"/>
        <v>52.125105006600165</v>
      </c>
      <c r="O66" s="371">
        <f t="shared" si="49"/>
        <v>37.456411764986356</v>
      </c>
      <c r="P66" s="370">
        <f t="shared" si="50"/>
        <v>42.157226303821417</v>
      </c>
      <c r="Q66" s="372">
        <f t="shared" si="51"/>
        <v>62.310908212199706</v>
      </c>
      <c r="R66" s="371">
        <f t="shared" si="52"/>
        <v>62.271381175541308</v>
      </c>
      <c r="S66" s="371">
        <f t="shared" si="53"/>
        <v>81.886306019196752</v>
      </c>
      <c r="T66" s="371">
        <f t="shared" si="54"/>
        <v>67.302239948946877</v>
      </c>
      <c r="U66" s="370">
        <f t="shared" si="55"/>
        <v>69.965983810525316</v>
      </c>
    </row>
    <row r="67" spans="1:21" ht="15" customHeight="1" outlineLevel="1">
      <c r="A67" s="373">
        <v>5</v>
      </c>
      <c r="B67" s="372">
        <f t="shared" si="36"/>
        <v>43.883337082069829</v>
      </c>
      <c r="C67" s="371">
        <f t="shared" si="37"/>
        <v>44.520207289782981</v>
      </c>
      <c r="D67" s="371">
        <f t="shared" si="38"/>
        <v>59.102283929109142</v>
      </c>
      <c r="E67" s="371">
        <f t="shared" si="39"/>
        <v>46.055153551904276</v>
      </c>
      <c r="F67" s="370">
        <f t="shared" si="40"/>
        <v>51.305699464228375</v>
      </c>
      <c r="G67" s="372">
        <f t="shared" si="41"/>
        <v>52.764944471951537</v>
      </c>
      <c r="H67" s="371">
        <f t="shared" si="42"/>
        <v>52.405065761825135</v>
      </c>
      <c r="I67" s="371">
        <f t="shared" si="43"/>
        <v>71.054155614811734</v>
      </c>
      <c r="J67" s="371">
        <f t="shared" si="44"/>
        <v>58.049779763561837</v>
      </c>
      <c r="K67" s="370">
        <f t="shared" si="45"/>
        <v>58.284622736453436</v>
      </c>
      <c r="L67" s="372">
        <f t="shared" si="46"/>
        <v>34.266521662479967</v>
      </c>
      <c r="M67" s="371">
        <f t="shared" si="47"/>
        <v>34.554413562633933</v>
      </c>
      <c r="N67" s="371">
        <f t="shared" si="48"/>
        <v>50.462894701675687</v>
      </c>
      <c r="O67" s="371">
        <f t="shared" si="49"/>
        <v>37.428387808056243</v>
      </c>
      <c r="P67" s="370">
        <f t="shared" si="50"/>
        <v>41.008491443671815</v>
      </c>
      <c r="Q67" s="372">
        <f t="shared" si="51"/>
        <v>62.3817598915414</v>
      </c>
      <c r="R67" s="371">
        <f t="shared" si="52"/>
        <v>62.370859488974183</v>
      </c>
      <c r="S67" s="371">
        <f t="shared" si="53"/>
        <v>79.693544842245188</v>
      </c>
      <c r="T67" s="371">
        <f t="shared" si="54"/>
        <v>66.67654550740987</v>
      </c>
      <c r="U67" s="370">
        <f t="shared" si="55"/>
        <v>68.581830757009996</v>
      </c>
    </row>
    <row r="68" spans="1:21" ht="15" customHeight="1" outlineLevel="1">
      <c r="A68" s="373">
        <v>6</v>
      </c>
      <c r="B68" s="372">
        <f t="shared" si="36"/>
        <v>44.770674435664759</v>
      </c>
      <c r="C68" s="371">
        <f t="shared" si="37"/>
        <v>45.178842913033897</v>
      </c>
      <c r="D68" s="371">
        <f t="shared" si="38"/>
        <v>57.783188044371357</v>
      </c>
      <c r="E68" s="371">
        <f t="shared" si="39"/>
        <v>46.406915987998595</v>
      </c>
      <c r="F68" s="370">
        <f t="shared" si="40"/>
        <v>50.424144874549725</v>
      </c>
      <c r="G68" s="372">
        <f t="shared" si="41"/>
        <v>52.451542161051734</v>
      </c>
      <c r="H68" s="371">
        <f t="shared" si="42"/>
        <v>52.2183303289519</v>
      </c>
      <c r="I68" s="371">
        <f t="shared" si="43"/>
        <v>68.518280017673462</v>
      </c>
      <c r="J68" s="371">
        <f t="shared" si="44"/>
        <v>57.044298929000398</v>
      </c>
      <c r="K68" s="370">
        <f t="shared" si="45"/>
        <v>56.63328941246715</v>
      </c>
      <c r="L68" s="372">
        <f t="shared" si="46"/>
        <v>34.731452324021497</v>
      </c>
      <c r="M68" s="371">
        <f t="shared" si="47"/>
        <v>34.90422134085275</v>
      </c>
      <c r="N68" s="371">
        <f t="shared" si="48"/>
        <v>48.773444034954551</v>
      </c>
      <c r="O68" s="371">
        <f t="shared" si="49"/>
        <v>37.366485038567347</v>
      </c>
      <c r="P68" s="370">
        <f t="shared" si="50"/>
        <v>39.834401290374096</v>
      </c>
      <c r="Q68" s="372">
        <f t="shared" si="51"/>
        <v>62.490764272694996</v>
      </c>
      <c r="R68" s="371">
        <f t="shared" si="52"/>
        <v>62.492951901133047</v>
      </c>
      <c r="S68" s="371">
        <f t="shared" si="53"/>
        <v>77.528024027090268</v>
      </c>
      <c r="T68" s="371">
        <f t="shared" si="54"/>
        <v>66.084729878431645</v>
      </c>
      <c r="U68" s="370">
        <f t="shared" si="55"/>
        <v>67.223032996642772</v>
      </c>
    </row>
    <row r="69" spans="1:21" ht="15" customHeight="1" outlineLevel="1">
      <c r="A69" s="373">
        <v>7</v>
      </c>
      <c r="B69" s="372">
        <f t="shared" si="36"/>
        <v>45.592296594257924</v>
      </c>
      <c r="C69" s="371">
        <f t="shared" si="37"/>
        <v>45.788892866031951</v>
      </c>
      <c r="D69" s="371">
        <f t="shared" si="38"/>
        <v>56.444903819596405</v>
      </c>
      <c r="E69" s="371">
        <f t="shared" si="39"/>
        <v>46.734030615988445</v>
      </c>
      <c r="F69" s="370">
        <f t="shared" si="40"/>
        <v>49.465505374664204</v>
      </c>
      <c r="G69" s="372">
        <f t="shared" si="41"/>
        <v>52.203855045153695</v>
      </c>
      <c r="H69" s="371">
        <f t="shared" si="42"/>
        <v>52.080180566331528</v>
      </c>
      <c r="I69" s="371">
        <f t="shared" si="43"/>
        <v>66.00159276057235</v>
      </c>
      <c r="J69" s="371">
        <f t="shared" si="44"/>
        <v>56.063465902543413</v>
      </c>
      <c r="K69" s="370">
        <f t="shared" si="45"/>
        <v>55.059040998687735</v>
      </c>
      <c r="L69" s="372">
        <f t="shared" si="46"/>
        <v>35.156747863513885</v>
      </c>
      <c r="M69" s="371">
        <f t="shared" si="47"/>
        <v>35.230851337999553</v>
      </c>
      <c r="N69" s="371">
        <f t="shared" si="48"/>
        <v>47.05537993980451</v>
      </c>
      <c r="O69" s="371">
        <f t="shared" si="49"/>
        <v>37.268797501965913</v>
      </c>
      <c r="P69" s="370">
        <f t="shared" si="50"/>
        <v>38.634440346986302</v>
      </c>
      <c r="Q69" s="372">
        <f t="shared" si="51"/>
        <v>62.639403775897733</v>
      </c>
      <c r="R69" s="371">
        <f t="shared" si="52"/>
        <v>62.638222094363925</v>
      </c>
      <c r="S69" s="371">
        <f t="shared" si="53"/>
        <v>75.391116640364245</v>
      </c>
      <c r="T69" s="371">
        <f t="shared" si="54"/>
        <v>65.528699016565952</v>
      </c>
      <c r="U69" s="370">
        <f t="shared" si="55"/>
        <v>65.890106026365629</v>
      </c>
    </row>
    <row r="70" spans="1:21" ht="15" customHeight="1">
      <c r="A70" s="373">
        <v>8</v>
      </c>
      <c r="B70" s="372">
        <f t="shared" si="36"/>
        <v>46.311288035179132</v>
      </c>
      <c r="C70" s="371">
        <f t="shared" si="37"/>
        <v>46.331087813723641</v>
      </c>
      <c r="D70" s="371">
        <f t="shared" si="38"/>
        <v>55.07937937427215</v>
      </c>
      <c r="E70" s="371">
        <f t="shared" si="39"/>
        <v>47.02453193609071</v>
      </c>
      <c r="F70" s="370">
        <f t="shared" si="40"/>
        <v>48.402189668675852</v>
      </c>
      <c r="G70" s="372">
        <f t="shared" si="41"/>
        <v>52.058798646927613</v>
      </c>
      <c r="H70" s="371">
        <f t="shared" si="42"/>
        <v>52.009885809017518</v>
      </c>
      <c r="I70" s="371">
        <f t="shared" si="43"/>
        <v>63.512145724020556</v>
      </c>
      <c r="J70" s="371">
        <f t="shared" si="44"/>
        <v>55.119246183974028</v>
      </c>
      <c r="K70" s="370">
        <f t="shared" si="45"/>
        <v>53.589468791011164</v>
      </c>
      <c r="L70" s="372">
        <f t="shared" si="46"/>
        <v>35.541202706163965</v>
      </c>
      <c r="M70" s="371">
        <f t="shared" si="47"/>
        <v>35.533841168835998</v>
      </c>
      <c r="N70" s="371">
        <f t="shared" si="48"/>
        <v>45.307417229217293</v>
      </c>
      <c r="O70" s="371">
        <f t="shared" si="49"/>
        <v>37.133559985105904</v>
      </c>
      <c r="P70" s="370">
        <f t="shared" si="50"/>
        <v>37.408228857243756</v>
      </c>
      <c r="Q70" s="372">
        <f t="shared" si="51"/>
        <v>62.82888397594278</v>
      </c>
      <c r="R70" s="371">
        <f t="shared" si="52"/>
        <v>62.807132453905162</v>
      </c>
      <c r="S70" s="371">
        <f t="shared" si="53"/>
        <v>73.284107869075413</v>
      </c>
      <c r="T70" s="371">
        <f t="shared" si="54"/>
        <v>65.010218134958834</v>
      </c>
      <c r="U70" s="370">
        <f t="shared" si="55"/>
        <v>64.58342960244326</v>
      </c>
    </row>
    <row r="71" spans="1:21" ht="15" customHeight="1">
      <c r="A71" s="373">
        <v>9</v>
      </c>
      <c r="B71" s="372">
        <f t="shared" si="36"/>
        <v>46.875896060310033</v>
      </c>
      <c r="C71" s="371">
        <f t="shared" si="37"/>
        <v>46.781569276129893</v>
      </c>
      <c r="D71" s="371">
        <f t="shared" si="38"/>
        <v>53.674162094914813</v>
      </c>
      <c r="E71" s="371">
        <f t="shared" si="39"/>
        <v>47.258913690899966</v>
      </c>
      <c r="F71" s="370">
        <f t="shared" si="40"/>
        <v>47.208762947069658</v>
      </c>
      <c r="G71" s="372">
        <f t="shared" si="41"/>
        <v>52.068125664491824</v>
      </c>
      <c r="H71" s="371">
        <f t="shared" si="42"/>
        <v>52.031304536988948</v>
      </c>
      <c r="I71" s="371">
        <f t="shared" si="43"/>
        <v>61.062391521501844</v>
      </c>
      <c r="J71" s="371">
        <f t="shared" si="44"/>
        <v>54.231146030697651</v>
      </c>
      <c r="K71" s="370">
        <f t="shared" si="45"/>
        <v>52.250007598952422</v>
      </c>
      <c r="L71" s="372">
        <f t="shared" si="46"/>
        <v>35.883937791584209</v>
      </c>
      <c r="M71" s="371">
        <f t="shared" si="47"/>
        <v>35.812841069199251</v>
      </c>
      <c r="N71" s="371">
        <f t="shared" si="48"/>
        <v>43.528392371292298</v>
      </c>
      <c r="O71" s="371">
        <f t="shared" si="49"/>
        <v>36.959206575182193</v>
      </c>
      <c r="P71" s="370">
        <f t="shared" si="50"/>
        <v>36.155533401775187</v>
      </c>
      <c r="Q71" s="372">
        <f t="shared" si="51"/>
        <v>63.060083933217648</v>
      </c>
      <c r="R71" s="371">
        <f t="shared" si="52"/>
        <v>63.00003274391959</v>
      </c>
      <c r="S71" s="371">
        <f t="shared" si="53"/>
        <v>71.208161245124359</v>
      </c>
      <c r="T71" s="371">
        <f t="shared" si="54"/>
        <v>64.530853146415424</v>
      </c>
      <c r="U71" s="370">
        <f t="shared" si="55"/>
        <v>63.303237144246893</v>
      </c>
    </row>
    <row r="72" spans="1:21" ht="15" customHeight="1">
      <c r="A72" s="373">
        <v>10</v>
      </c>
      <c r="B72" s="372">
        <f t="shared" si="36"/>
        <v>47.234655937984463</v>
      </c>
      <c r="C72" s="371">
        <f t="shared" si="37"/>
        <v>47.116856273307199</v>
      </c>
      <c r="D72" s="371">
        <f t="shared" si="38"/>
        <v>52.209945173162822</v>
      </c>
      <c r="E72" s="371">
        <f t="shared" si="39"/>
        <v>47.405645230065808</v>
      </c>
      <c r="F72" s="370">
        <f t="shared" si="40"/>
        <v>45.874192119240874</v>
      </c>
      <c r="G72" s="372">
        <f t="shared" si="41"/>
        <v>52.28330082951252</v>
      </c>
      <c r="H72" s="371">
        <f t="shared" si="42"/>
        <v>52.167917730189323</v>
      </c>
      <c r="I72" s="371">
        <f t="shared" si="43"/>
        <v>58.671636961377786</v>
      </c>
      <c r="J72" s="371">
        <f t="shared" si="44"/>
        <v>53.430696093064675</v>
      </c>
      <c r="K72" s="370">
        <f t="shared" si="45"/>
        <v>51.05169051311627</v>
      </c>
      <c r="L72" s="372">
        <f t="shared" si="46"/>
        <v>36.184438924805249</v>
      </c>
      <c r="M72" s="371">
        <f t="shared" si="47"/>
        <v>36.067622798546829</v>
      </c>
      <c r="N72" s="371">
        <f t="shared" si="48"/>
        <v>41.717297237210474</v>
      </c>
      <c r="O72" s="371">
        <f t="shared" si="49"/>
        <v>36.744428409070863</v>
      </c>
      <c r="P72" s="370">
        <f t="shared" si="50"/>
        <v>34.876273582077445</v>
      </c>
      <c r="Q72" s="372">
        <f t="shared" si="51"/>
        <v>63.333517842691734</v>
      </c>
      <c r="R72" s="371">
        <f t="shared" si="52"/>
        <v>63.217151204949694</v>
      </c>
      <c r="S72" s="371">
        <f t="shared" si="53"/>
        <v>69.164284897330134</v>
      </c>
      <c r="T72" s="371">
        <f t="shared" si="54"/>
        <v>64.09191291405962</v>
      </c>
      <c r="U72" s="370">
        <f t="shared" si="55"/>
        <v>62.049609050279699</v>
      </c>
    </row>
    <row r="73" spans="1:21" ht="15" customHeight="1">
      <c r="A73" s="373">
        <v>11</v>
      </c>
      <c r="B73" s="372">
        <f t="shared" si="36"/>
        <v>47.370942205715764</v>
      </c>
      <c r="C73" s="371">
        <f t="shared" si="37"/>
        <v>47.32347647120654</v>
      </c>
      <c r="D73" s="371">
        <f t="shared" si="38"/>
        <v>50.657866287084396</v>
      </c>
      <c r="E73" s="371">
        <f t="shared" si="39"/>
        <v>47.417735156159857</v>
      </c>
      <c r="F73" s="370">
        <f t="shared" si="40"/>
        <v>44.408806082126141</v>
      </c>
      <c r="G73" s="372">
        <f t="shared" si="41"/>
        <v>52.720949604476345</v>
      </c>
      <c r="H73" s="371">
        <f t="shared" si="42"/>
        <v>52.433197722667664</v>
      </c>
      <c r="I73" s="371">
        <f t="shared" si="43"/>
        <v>56.368744365580163</v>
      </c>
      <c r="J73" s="371">
        <f t="shared" si="44"/>
        <v>52.764887768503506</v>
      </c>
      <c r="K73" s="370">
        <f t="shared" si="45"/>
        <v>49.984188636566081</v>
      </c>
      <c r="L73" s="372">
        <f t="shared" si="46"/>
        <v>36.442580053075559</v>
      </c>
      <c r="M73" s="371">
        <f t="shared" si="47"/>
        <v>36.298085607029876</v>
      </c>
      <c r="N73" s="371">
        <f t="shared" si="48"/>
        <v>39.873310831499083</v>
      </c>
      <c r="O73" s="371">
        <f t="shared" si="49"/>
        <v>36.488226224888585</v>
      </c>
      <c r="P73" s="370">
        <f t="shared" si="50"/>
        <v>33.570524353013411</v>
      </c>
      <c r="Q73" s="372">
        <f t="shared" si="51"/>
        <v>63.64931175711655</v>
      </c>
      <c r="R73" s="371">
        <f t="shared" si="52"/>
        <v>63.458588586844328</v>
      </c>
      <c r="S73" s="371">
        <f t="shared" si="53"/>
        <v>67.153299821165476</v>
      </c>
      <c r="T73" s="371">
        <f t="shared" si="54"/>
        <v>63.694396699774778</v>
      </c>
      <c r="U73" s="370">
        <f t="shared" si="55"/>
        <v>60.822470365678811</v>
      </c>
    </row>
    <row r="74" spans="1:21" ht="15" customHeight="1">
      <c r="A74" s="373">
        <v>12</v>
      </c>
      <c r="B74" s="372">
        <f t="shared" si="36"/>
        <v>47.31792835016779</v>
      </c>
      <c r="C74" s="371">
        <f t="shared" si="37"/>
        <v>47.405606305217759</v>
      </c>
      <c r="D74" s="371">
        <f t="shared" si="38"/>
        <v>48.979676024279357</v>
      </c>
      <c r="E74" s="371">
        <f t="shared" si="39"/>
        <v>47.240346813932476</v>
      </c>
      <c r="F74" s="370">
        <f t="shared" si="40"/>
        <v>42.837750431043624</v>
      </c>
      <c r="G74" s="372">
        <f t="shared" si="41"/>
        <v>53.347898502719445</v>
      </c>
      <c r="H74" s="371">
        <f t="shared" si="42"/>
        <v>52.822968079034126</v>
      </c>
      <c r="I74" s="371">
        <f t="shared" si="43"/>
        <v>54.191963146509153</v>
      </c>
      <c r="J74" s="371">
        <f t="shared" si="44"/>
        <v>52.288557712263767</v>
      </c>
      <c r="K74" s="370">
        <f t="shared" si="45"/>
        <v>49.022356373983662</v>
      </c>
      <c r="L74" s="372">
        <f t="shared" si="46"/>
        <v>36.658629067751022</v>
      </c>
      <c r="M74" s="371">
        <f t="shared" si="47"/>
        <v>36.504258909300049</v>
      </c>
      <c r="N74" s="371">
        <f t="shared" si="48"/>
        <v>37.995826871144565</v>
      </c>
      <c r="O74" s="371">
        <f t="shared" si="49"/>
        <v>36.189953155185272</v>
      </c>
      <c r="P74" s="370">
        <f t="shared" si="50"/>
        <v>32.238513847752778</v>
      </c>
      <c r="Q74" s="372">
        <f t="shared" si="51"/>
        <v>64.007197785136213</v>
      </c>
      <c r="R74" s="371">
        <f t="shared" si="52"/>
        <v>63.724315474951837</v>
      </c>
      <c r="S74" s="371">
        <f t="shared" si="53"/>
        <v>65.175812299643951</v>
      </c>
      <c r="T74" s="371">
        <f t="shared" si="54"/>
        <v>63.338951371010971</v>
      </c>
      <c r="U74" s="370">
        <f t="shared" si="55"/>
        <v>59.621592957274508</v>
      </c>
    </row>
    <row r="75" spans="1:21" ht="15" customHeight="1">
      <c r="A75" s="373">
        <v>13</v>
      </c>
      <c r="B75" s="372">
        <f t="shared" si="36"/>
        <v>47.130515036111639</v>
      </c>
      <c r="C75" s="371">
        <f t="shared" si="37"/>
        <v>47.382540629824319</v>
      </c>
      <c r="D75" s="371">
        <f t="shared" si="38"/>
        <v>47.137674872220877</v>
      </c>
      <c r="E75" s="371">
        <f t="shared" si="39"/>
        <v>46.840555590861165</v>
      </c>
      <c r="F75" s="370">
        <f t="shared" si="40"/>
        <v>41.188704060571013</v>
      </c>
      <c r="G75" s="372">
        <f t="shared" si="41"/>
        <v>54.109246859470723</v>
      </c>
      <c r="H75" s="371">
        <f t="shared" si="42"/>
        <v>53.317933944805247</v>
      </c>
      <c r="I75" s="371">
        <f t="shared" si="43"/>
        <v>52.178992816691583</v>
      </c>
      <c r="J75" s="371">
        <f t="shared" si="44"/>
        <v>52.034630536867944</v>
      </c>
      <c r="K75" s="370">
        <f t="shared" si="45"/>
        <v>48.138514830791337</v>
      </c>
      <c r="L75" s="372">
        <f t="shared" si="46"/>
        <v>36.833235519050717</v>
      </c>
      <c r="M75" s="371">
        <f t="shared" si="47"/>
        <v>36.686301501345241</v>
      </c>
      <c r="N75" s="371">
        <f t="shared" si="48"/>
        <v>36.084475168069119</v>
      </c>
      <c r="O75" s="371">
        <f t="shared" si="49"/>
        <v>35.849343678884793</v>
      </c>
      <c r="P75" s="370">
        <f t="shared" si="50"/>
        <v>30.880616840746402</v>
      </c>
      <c r="Q75" s="372">
        <f t="shared" si="51"/>
        <v>64.406526376531644</v>
      </c>
      <c r="R75" s="371">
        <f t="shared" si="52"/>
        <v>64.014173073284326</v>
      </c>
      <c r="S75" s="371">
        <f t="shared" si="53"/>
        <v>63.232192520843341</v>
      </c>
      <c r="T75" s="371">
        <f t="shared" si="54"/>
        <v>63.025842448844315</v>
      </c>
      <c r="U75" s="370">
        <f t="shared" si="55"/>
        <v>58.446602050615951</v>
      </c>
    </row>
    <row r="76" spans="1:21" ht="15" customHeight="1">
      <c r="A76" s="373">
        <v>14</v>
      </c>
      <c r="B76" s="372">
        <f t="shared" si="36"/>
        <v>46.855643320300437</v>
      </c>
      <c r="C76" s="371">
        <f t="shared" si="37"/>
        <v>47.278903492626092</v>
      </c>
      <c r="D76" s="371">
        <f t="shared" si="38"/>
        <v>45.115748815466098</v>
      </c>
      <c r="E76" s="371">
        <f t="shared" si="39"/>
        <v>46.23523456573492</v>
      </c>
      <c r="F76" s="370">
        <f t="shared" si="40"/>
        <v>39.484479459865021</v>
      </c>
      <c r="G76" s="372">
        <f t="shared" si="41"/>
        <v>54.95805361797705</v>
      </c>
      <c r="H76" s="371">
        <f t="shared" si="42"/>
        <v>53.893471272381156</v>
      </c>
      <c r="I76" s="371">
        <f t="shared" si="43"/>
        <v>50.345947391570313</v>
      </c>
      <c r="J76" s="371">
        <f t="shared" si="44"/>
        <v>51.986233163527068</v>
      </c>
      <c r="K76" s="370">
        <f t="shared" si="45"/>
        <v>47.309851517832406</v>
      </c>
      <c r="L76" s="372">
        <f t="shared" si="46"/>
        <v>36.967401533546465</v>
      </c>
      <c r="M76" s="371">
        <f t="shared" si="47"/>
        <v>36.844497368518361</v>
      </c>
      <c r="N76" s="371">
        <f t="shared" si="48"/>
        <v>34.139135113663329</v>
      </c>
      <c r="O76" s="371">
        <f t="shared" si="49"/>
        <v>35.466525791966212</v>
      </c>
      <c r="P76" s="370">
        <f t="shared" si="50"/>
        <v>29.497344278717151</v>
      </c>
      <c r="Q76" s="372">
        <f t="shared" si="51"/>
        <v>64.846295404731023</v>
      </c>
      <c r="R76" s="371">
        <f t="shared" si="52"/>
        <v>64.327877396488887</v>
      </c>
      <c r="S76" s="371">
        <f t="shared" si="53"/>
        <v>61.322561093373082</v>
      </c>
      <c r="T76" s="371">
        <f t="shared" si="54"/>
        <v>62.754941937295776</v>
      </c>
      <c r="U76" s="370">
        <f t="shared" si="55"/>
        <v>57.296986698980277</v>
      </c>
    </row>
    <row r="77" spans="1:21" ht="15" customHeight="1">
      <c r="A77" s="373">
        <v>15</v>
      </c>
      <c r="B77" s="372">
        <f t="shared" si="36"/>
        <v>46.524779570911669</v>
      </c>
      <c r="C77" s="371">
        <f t="shared" si="37"/>
        <v>47.116781627144249</v>
      </c>
      <c r="D77" s="371">
        <f t="shared" si="38"/>
        <v>42.931594238702345</v>
      </c>
      <c r="E77" s="371">
        <f t="shared" si="39"/>
        <v>45.475886445374336</v>
      </c>
      <c r="F77" s="370">
        <f t="shared" si="40"/>
        <v>37.741556321503886</v>
      </c>
      <c r="G77" s="372">
        <f t="shared" si="41"/>
        <v>55.862852410060945</v>
      </c>
      <c r="H77" s="371">
        <f t="shared" si="42"/>
        <v>54.527493328240666</v>
      </c>
      <c r="I77" s="371">
        <f t="shared" si="43"/>
        <v>48.675130486458031</v>
      </c>
      <c r="J77" s="371">
        <f t="shared" si="44"/>
        <v>52.091862885420532</v>
      </c>
      <c r="K77" s="370">
        <f t="shared" si="45"/>
        <v>46.519886742528605</v>
      </c>
      <c r="L77" s="372">
        <f t="shared" si="46"/>
        <v>37.062438888464953</v>
      </c>
      <c r="M77" s="371">
        <f t="shared" si="47"/>
        <v>36.979248339531637</v>
      </c>
      <c r="N77" s="371">
        <f t="shared" si="48"/>
        <v>32.15994014271395</v>
      </c>
      <c r="O77" s="371">
        <f t="shared" si="49"/>
        <v>35.042015119614319</v>
      </c>
      <c r="P77" s="370">
        <f t="shared" si="50"/>
        <v>28.08932954413303</v>
      </c>
      <c r="Q77" s="372">
        <f t="shared" si="51"/>
        <v>65.325193092507661</v>
      </c>
      <c r="R77" s="371">
        <f t="shared" si="52"/>
        <v>64.665026615853279</v>
      </c>
      <c r="S77" s="371">
        <f t="shared" si="53"/>
        <v>59.446784582446426</v>
      </c>
      <c r="T77" s="371">
        <f t="shared" si="54"/>
        <v>62.525734211180549</v>
      </c>
      <c r="U77" s="370">
        <f t="shared" si="55"/>
        <v>56.172113519899462</v>
      </c>
    </row>
    <row r="78" spans="1:21" ht="15" customHeight="1">
      <c r="A78" s="373">
        <v>16</v>
      </c>
      <c r="B78" s="372">
        <f t="shared" si="36"/>
        <v>46.157383446686389</v>
      </c>
      <c r="C78" s="371">
        <f t="shared" si="37"/>
        <v>46.912990565123188</v>
      </c>
      <c r="D78" s="371">
        <f t="shared" si="38"/>
        <v>40.623393682845837</v>
      </c>
      <c r="E78" s="371">
        <f t="shared" si="39"/>
        <v>44.614168452065698</v>
      </c>
      <c r="F78" s="370">
        <f t="shared" si="40"/>
        <v>35.971226861490827</v>
      </c>
      <c r="G78" s="372">
        <f t="shared" si="41"/>
        <v>56.804183576981352</v>
      </c>
      <c r="H78" s="371">
        <f t="shared" si="42"/>
        <v>55.203184580639409</v>
      </c>
      <c r="I78" s="371">
        <f t="shared" si="43"/>
        <v>47.12835956043849</v>
      </c>
      <c r="J78" s="371">
        <f t="shared" si="44"/>
        <v>52.299862480262036</v>
      </c>
      <c r="K78" s="370">
        <f t="shared" si="45"/>
        <v>45.757328288876742</v>
      </c>
      <c r="L78" s="372">
        <f t="shared" si="46"/>
        <v>37.119916338649958</v>
      </c>
      <c r="M78" s="371">
        <f t="shared" si="47"/>
        <v>37.091064020386504</v>
      </c>
      <c r="N78" s="371">
        <f t="shared" si="48"/>
        <v>30.147272796803303</v>
      </c>
      <c r="O78" s="371">
        <f t="shared" si="49"/>
        <v>34.576691590764483</v>
      </c>
      <c r="P78" s="370">
        <f t="shared" si="50"/>
        <v>26.657312276465333</v>
      </c>
      <c r="Q78" s="372">
        <f t="shared" si="51"/>
        <v>65.841650685017783</v>
      </c>
      <c r="R78" s="371">
        <f t="shared" si="52"/>
        <v>65.0251111253761</v>
      </c>
      <c r="S78" s="371">
        <f t="shared" si="53"/>
        <v>57.60448044648102</v>
      </c>
      <c r="T78" s="371">
        <f t="shared" si="54"/>
        <v>62.337339341563251</v>
      </c>
      <c r="U78" s="370">
        <f t="shared" si="55"/>
        <v>55.071242873902236</v>
      </c>
    </row>
    <row r="79" spans="1:21" ht="15" customHeight="1">
      <c r="A79" s="373">
        <v>17</v>
      </c>
      <c r="B79" s="372">
        <f t="shared" si="36"/>
        <v>45.765391109212558</v>
      </c>
      <c r="C79" s="371">
        <f t="shared" si="37"/>
        <v>46.679427348460941</v>
      </c>
      <c r="D79" s="371">
        <f t="shared" si="38"/>
        <v>38.229046366425898</v>
      </c>
      <c r="E79" s="371">
        <f t="shared" si="39"/>
        <v>43.686896478463439</v>
      </c>
      <c r="F79" s="370">
        <f t="shared" si="40"/>
        <v>34.181134061776149</v>
      </c>
      <c r="G79" s="372">
        <f t="shared" si="41"/>
        <v>57.770110957150308</v>
      </c>
      <c r="H79" s="371">
        <f t="shared" si="42"/>
        <v>55.908647987679338</v>
      </c>
      <c r="I79" s="371">
        <f t="shared" si="43"/>
        <v>45.66773539498238</v>
      </c>
      <c r="J79" s="371">
        <f t="shared" si="44"/>
        <v>52.573416055397175</v>
      </c>
      <c r="K79" s="370">
        <f t="shared" si="45"/>
        <v>45.014533174926484</v>
      </c>
      <c r="L79" s="372">
        <f t="shared" si="46"/>
        <v>37.141601766573814</v>
      </c>
      <c r="M79" s="371">
        <f t="shared" si="47"/>
        <v>37.180549576387676</v>
      </c>
      <c r="N79" s="371">
        <f t="shared" si="48"/>
        <v>28.101750807093836</v>
      </c>
      <c r="O79" s="371">
        <f t="shared" si="49"/>
        <v>34.07176107899987</v>
      </c>
      <c r="P79" s="370">
        <f t="shared" si="50"/>
        <v>25.202120652387435</v>
      </c>
      <c r="Q79" s="372">
        <f t="shared" si="51"/>
        <v>66.393900299789053</v>
      </c>
      <c r="R79" s="371">
        <f t="shared" si="52"/>
        <v>65.407525759752602</v>
      </c>
      <c r="S79" s="371">
        <f t="shared" si="53"/>
        <v>55.795030954314441</v>
      </c>
      <c r="T79" s="371">
        <f t="shared" si="54"/>
        <v>62.188551454860743</v>
      </c>
      <c r="U79" s="370">
        <f t="shared" si="55"/>
        <v>53.993546584315197</v>
      </c>
    </row>
    <row r="80" spans="1:21" ht="15" customHeight="1">
      <c r="A80" s="373">
        <v>18</v>
      </c>
      <c r="B80" s="372">
        <f t="shared" si="36"/>
        <v>45.356277668988497</v>
      </c>
      <c r="C80" s="371">
        <f t="shared" si="37"/>
        <v>46.424298821152618</v>
      </c>
      <c r="D80" s="371">
        <f t="shared" si="38"/>
        <v>35.776887326006111</v>
      </c>
      <c r="E80" s="371">
        <f t="shared" si="39"/>
        <v>42.717233837069159</v>
      </c>
      <c r="F80" s="370">
        <f t="shared" si="40"/>
        <v>32.376489356437062</v>
      </c>
      <c r="G80" s="372">
        <f t="shared" si="41"/>
        <v>58.753159440069496</v>
      </c>
      <c r="H80" s="371">
        <f t="shared" si="42"/>
        <v>56.635676705365341</v>
      </c>
      <c r="I80" s="371">
        <f t="shared" si="43"/>
        <v>44.264922953526117</v>
      </c>
      <c r="J80" s="371">
        <f t="shared" si="44"/>
        <v>52.889360298324334</v>
      </c>
      <c r="K80" s="370">
        <f t="shared" si="45"/>
        <v>44.286289966600648</v>
      </c>
      <c r="L80" s="372">
        <f t="shared" si="46"/>
        <v>37.129403549166476</v>
      </c>
      <c r="M80" s="371">
        <f t="shared" si="47"/>
        <v>37.24839200908059</v>
      </c>
      <c r="N80" s="371">
        <f t="shared" si="48"/>
        <v>26.024205353183163</v>
      </c>
      <c r="O80" s="371">
        <f t="shared" si="49"/>
        <v>33.528705763629198</v>
      </c>
      <c r="P80" s="370">
        <f t="shared" si="50"/>
        <v>23.724653018596786</v>
      </c>
      <c r="Q80" s="372">
        <f t="shared" si="51"/>
        <v>66.98003355989151</v>
      </c>
      <c r="R80" s="371">
        <f t="shared" si="52"/>
        <v>65.81158351743737</v>
      </c>
      <c r="S80" s="371">
        <f t="shared" si="53"/>
        <v>54.017604926349065</v>
      </c>
      <c r="T80" s="371">
        <f t="shared" si="54"/>
        <v>62.077888371764296</v>
      </c>
      <c r="U80" s="370">
        <f t="shared" si="55"/>
        <v>52.938126304440928</v>
      </c>
    </row>
    <row r="81" spans="1:21" ht="15" customHeight="1">
      <c r="A81" s="373">
        <v>19</v>
      </c>
      <c r="B81" s="372">
        <f t="shared" si="36"/>
        <v>44.93486859640192</v>
      </c>
      <c r="C81" s="371">
        <f t="shared" si="37"/>
        <v>46.153262674648595</v>
      </c>
      <c r="D81" s="371">
        <f t="shared" si="38"/>
        <v>33.285807098525275</v>
      </c>
      <c r="E81" s="371">
        <f t="shared" si="39"/>
        <v>41.719362387963642</v>
      </c>
      <c r="F81" s="370">
        <f t="shared" si="40"/>
        <v>30.560904195089741</v>
      </c>
      <c r="G81" s="372">
        <f t="shared" si="41"/>
        <v>59.748503555351199</v>
      </c>
      <c r="H81" s="371">
        <f t="shared" si="42"/>
        <v>57.378613042247046</v>
      </c>
      <c r="I81" s="371">
        <f t="shared" si="43"/>
        <v>42.901031699130904</v>
      </c>
      <c r="J81" s="371">
        <f t="shared" si="44"/>
        <v>53.233513348962717</v>
      </c>
      <c r="K81" s="370">
        <f t="shared" si="45"/>
        <v>43.568987214283034</v>
      </c>
      <c r="L81" s="372">
        <f t="shared" si="46"/>
        <v>37.085314853122767</v>
      </c>
      <c r="M81" s="371">
        <f t="shared" si="47"/>
        <v>37.295345595825857</v>
      </c>
      <c r="N81" s="371">
        <f t="shared" si="48"/>
        <v>23.915653222795918</v>
      </c>
      <c r="O81" s="371">
        <f t="shared" si="49"/>
        <v>32.949227682044452</v>
      </c>
      <c r="P81" s="370">
        <f t="shared" si="50"/>
        <v>22.225859692711957</v>
      </c>
      <c r="Q81" s="372">
        <f t="shared" si="51"/>
        <v>67.598057298630351</v>
      </c>
      <c r="R81" s="371">
        <f t="shared" si="52"/>
        <v>66.236530121069791</v>
      </c>
      <c r="S81" s="371">
        <f t="shared" si="53"/>
        <v>52.271185574860262</v>
      </c>
      <c r="T81" s="371">
        <f t="shared" si="54"/>
        <v>62.003648054881907</v>
      </c>
      <c r="U81" s="370">
        <f t="shared" si="55"/>
        <v>51.904031716660818</v>
      </c>
    </row>
    <row r="82" spans="1:21" ht="15" customHeight="1">
      <c r="A82" s="373">
        <v>20</v>
      </c>
      <c r="B82" s="372">
        <f t="shared" si="36"/>
        <v>44.504379519598537</v>
      </c>
      <c r="C82" s="371">
        <f t="shared" si="37"/>
        <v>45.870263549148959</v>
      </c>
      <c r="D82" s="371">
        <f t="shared" si="38"/>
        <v>30.767983112041779</v>
      </c>
      <c r="E82" s="371">
        <f t="shared" si="39"/>
        <v>40.702083476948516</v>
      </c>
      <c r="F82" s="370">
        <f t="shared" si="40"/>
        <v>28.736930461555062</v>
      </c>
      <c r="G82" s="372">
        <f t="shared" si="41"/>
        <v>60.752927674849708</v>
      </c>
      <c r="H82" s="371">
        <f t="shared" si="42"/>
        <v>58.133512358124364</v>
      </c>
      <c r="I82" s="371">
        <f t="shared" si="43"/>
        <v>41.563884203738354</v>
      </c>
      <c r="J82" s="371">
        <f t="shared" si="44"/>
        <v>53.597073861510722</v>
      </c>
      <c r="K82" s="370">
        <f t="shared" si="45"/>
        <v>42.860073034152776</v>
      </c>
      <c r="L82" s="372">
        <f t="shared" si="46"/>
        <v>37.01136359541529</v>
      </c>
      <c r="M82" s="371">
        <f t="shared" si="47"/>
        <v>37.322217127970021</v>
      </c>
      <c r="N82" s="371">
        <f t="shared" si="48"/>
        <v>21.777264928377846</v>
      </c>
      <c r="O82" s="371">
        <f t="shared" si="49"/>
        <v>32.335189989074543</v>
      </c>
      <c r="P82" s="370">
        <f t="shared" si="50"/>
        <v>20.706725618328953</v>
      </c>
      <c r="Q82" s="372">
        <f t="shared" si="51"/>
        <v>68.245943599032955</v>
      </c>
      <c r="R82" s="371">
        <f t="shared" si="52"/>
        <v>66.681558779303302</v>
      </c>
      <c r="S82" s="371">
        <f t="shared" si="53"/>
        <v>50.554602387402284</v>
      </c>
      <c r="T82" s="371">
        <f t="shared" si="54"/>
        <v>61.963967349384696</v>
      </c>
      <c r="U82" s="370">
        <f t="shared" si="55"/>
        <v>50.890277877378885</v>
      </c>
    </row>
    <row r="83" spans="1:21" ht="15" customHeight="1">
      <c r="A83" s="369">
        <v>21</v>
      </c>
      <c r="B83" s="368">
        <f t="shared" si="36"/>
        <v>44.067018819933523</v>
      </c>
      <c r="C83" s="367">
        <f t="shared" si="37"/>
        <v>45.578097443504021</v>
      </c>
      <c r="D83" s="367">
        <f t="shared" si="38"/>
        <v>28.231294730981602</v>
      </c>
      <c r="E83" s="367">
        <f t="shared" si="39"/>
        <v>39.671015639096836</v>
      </c>
      <c r="F83" s="366">
        <f t="shared" si="40"/>
        <v>26.906407860541041</v>
      </c>
      <c r="G83" s="368">
        <f t="shared" si="41"/>
        <v>61.764223417209848</v>
      </c>
      <c r="H83" s="367">
        <f t="shared" si="42"/>
        <v>58.897578654146983</v>
      </c>
      <c r="I83" s="367">
        <f t="shared" si="43"/>
        <v>40.245601102922478</v>
      </c>
      <c r="J83" s="367">
        <f t="shared" si="44"/>
        <v>53.974423300895282</v>
      </c>
      <c r="K83" s="366">
        <f t="shared" si="45"/>
        <v>42.157707721501879</v>
      </c>
      <c r="L83" s="368">
        <f t="shared" si="46"/>
        <v>36.909569751926519</v>
      </c>
      <c r="M83" s="367">
        <f t="shared" si="47"/>
        <v>37.329851509980401</v>
      </c>
      <c r="N83" s="367">
        <f t="shared" si="48"/>
        <v>19.610330911953284</v>
      </c>
      <c r="O83" s="367">
        <f t="shared" si="49"/>
        <v>31.688559916287183</v>
      </c>
      <c r="P83" s="366">
        <f t="shared" si="50"/>
        <v>19.168254402066786</v>
      </c>
      <c r="Q83" s="368">
        <f t="shared" si="51"/>
        <v>68.921672485216845</v>
      </c>
      <c r="R83" s="367">
        <f t="shared" si="52"/>
        <v>67.145824587670603</v>
      </c>
      <c r="S83" s="367">
        <f t="shared" si="53"/>
        <v>48.866564921950797</v>
      </c>
      <c r="T83" s="367">
        <f t="shared" si="54"/>
        <v>61.956879023704936</v>
      </c>
      <c r="U83" s="366">
        <f t="shared" si="55"/>
        <v>49.89586117997613</v>
      </c>
    </row>
  </sheetData>
  <mergeCells count="26">
    <mergeCell ref="A61:A62"/>
    <mergeCell ref="Q62:U62"/>
    <mergeCell ref="N13:T13"/>
    <mergeCell ref="T1:T2"/>
    <mergeCell ref="AD1:AN1"/>
    <mergeCell ref="D1:I1"/>
    <mergeCell ref="J1:M1"/>
    <mergeCell ref="A1:C1"/>
    <mergeCell ref="A35:K35"/>
    <mergeCell ref="G39:K39"/>
    <mergeCell ref="Z1:AC1"/>
    <mergeCell ref="Z8:AC8"/>
    <mergeCell ref="B62:F62"/>
    <mergeCell ref="G62:K62"/>
    <mergeCell ref="L62:P62"/>
    <mergeCell ref="N1:S1"/>
    <mergeCell ref="U1:Y1"/>
    <mergeCell ref="U8:Y8"/>
    <mergeCell ref="L39:P39"/>
    <mergeCell ref="U15:Y15"/>
    <mergeCell ref="Z15:AC15"/>
    <mergeCell ref="U22:Y22"/>
    <mergeCell ref="Z22:AC22"/>
    <mergeCell ref="U29:Y29"/>
    <mergeCell ref="Z29:AC29"/>
    <mergeCell ref="Q39:U39"/>
  </mergeCells>
  <pageMargins left="0.7" right="0.7" top="0.75" bottom="0.75" header="0.3" footer="0.3"/>
  <pageSetup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2EEC-801B-4C5E-B349-AA463A2E5E83}">
  <dimension ref="A1:AG64"/>
  <sheetViews>
    <sheetView zoomScale="125" zoomScaleNormal="125" workbookViewId="0">
      <selection activeCell="T49" sqref="T49"/>
    </sheetView>
  </sheetViews>
  <sheetFormatPr defaultColWidth="6" defaultRowHeight="15" customHeight="1"/>
  <cols>
    <col min="1" max="3" width="6" style="241" customWidth="1"/>
    <col min="4" max="4" width="6" style="245" customWidth="1"/>
    <col min="5" max="5" width="6" style="144"/>
    <col min="6" max="6" width="6" style="241"/>
    <col min="7" max="11" width="6" style="241" customWidth="1"/>
    <col min="12" max="12" width="6.875" style="241" customWidth="1"/>
    <col min="13" max="13" width="9.75" style="241" customWidth="1"/>
    <col min="14" max="23" width="6" style="241" customWidth="1"/>
    <col min="24" max="24" width="6" style="241"/>
    <col min="25" max="25" width="6" style="241" customWidth="1"/>
    <col min="26" max="26" width="6.25" style="241" bestFit="1" customWidth="1"/>
    <col min="27" max="27" width="6" style="241"/>
    <col min="28" max="28" width="6" style="244" customWidth="1"/>
    <col min="29" max="29" width="6" style="243"/>
    <col min="30" max="30" width="6" style="242" customWidth="1"/>
    <col min="31" max="31" width="6" style="242"/>
    <col min="32" max="33" width="6" style="242" customWidth="1"/>
    <col min="34" max="16384" width="6" style="241"/>
  </cols>
  <sheetData>
    <row r="1" spans="1:30" ht="15" customHeight="1">
      <c r="A1" s="587" t="s">
        <v>119</v>
      </c>
      <c r="B1" s="588"/>
      <c r="C1" s="589"/>
      <c r="D1" s="587" t="s">
        <v>118</v>
      </c>
      <c r="E1" s="611"/>
      <c r="F1" s="614"/>
      <c r="G1" s="587" t="s">
        <v>14</v>
      </c>
      <c r="H1" s="588"/>
      <c r="I1" s="588"/>
      <c r="J1" s="588"/>
      <c r="K1" s="588"/>
      <c r="L1" s="589"/>
      <c r="M1" s="588" t="s">
        <v>117</v>
      </c>
      <c r="N1" s="588"/>
      <c r="O1" s="588"/>
      <c r="P1" s="588"/>
      <c r="Q1" s="588"/>
      <c r="R1" s="589"/>
      <c r="S1" s="603" t="s">
        <v>116</v>
      </c>
    </row>
    <row r="2" spans="1:30" s="359" customFormat="1" ht="15" customHeight="1">
      <c r="A2" s="334" t="s">
        <v>10</v>
      </c>
      <c r="B2" s="334" t="s">
        <v>115</v>
      </c>
      <c r="C2" s="334" t="s">
        <v>48</v>
      </c>
      <c r="D2" s="363"/>
      <c r="E2" s="201" t="s">
        <v>114</v>
      </c>
      <c r="F2" s="278" t="s">
        <v>113</v>
      </c>
      <c r="G2" s="334">
        <v>0</v>
      </c>
      <c r="H2" s="361" t="s">
        <v>99</v>
      </c>
      <c r="I2" s="361" t="s">
        <v>98</v>
      </c>
      <c r="J2" s="362" t="s">
        <v>97</v>
      </c>
      <c r="K2" s="361" t="s">
        <v>96</v>
      </c>
      <c r="L2" s="334" t="s">
        <v>112</v>
      </c>
      <c r="M2" s="360">
        <v>0</v>
      </c>
      <c r="N2" s="361">
        <v>1</v>
      </c>
      <c r="O2" s="361">
        <v>2</v>
      </c>
      <c r="P2" s="361">
        <v>3</v>
      </c>
      <c r="Q2" s="361">
        <v>4</v>
      </c>
      <c r="R2" s="360">
        <v>22</v>
      </c>
      <c r="S2" s="615"/>
    </row>
    <row r="3" spans="1:30" ht="15" customHeight="1">
      <c r="A3" s="291">
        <v>1</v>
      </c>
      <c r="B3" s="309">
        <v>85.7</v>
      </c>
      <c r="C3" s="309">
        <f t="array" ref="C3:C30">MMULT(X,a)</f>
        <v>85.998219980632285</v>
      </c>
      <c r="D3" s="294">
        <v>1</v>
      </c>
      <c r="E3" s="358">
        <f t="array" ref="E3:E30">MMULT(X,a_j)</f>
        <v>-0.54401329185791569</v>
      </c>
      <c r="F3" s="263">
        <f t="array" ref="F3:F30">y-MMULT(X,P15:P20)+y_bar</f>
        <v>54.086108565115403</v>
      </c>
      <c r="G3" s="291">
        <v>1</v>
      </c>
      <c r="H3" s="290">
        <v>-1.2210000000000001</v>
      </c>
      <c r="I3" s="290">
        <v>1.661</v>
      </c>
      <c r="J3" s="290">
        <v>-1.181</v>
      </c>
      <c r="K3" s="290">
        <v>-1.22</v>
      </c>
      <c r="L3" s="289">
        <f t="shared" ref="L3:L30" si="0">(I3^2-L$33)/L$34</f>
        <v>1.3893679010370081</v>
      </c>
      <c r="M3" s="356">
        <f t="array" ref="M3:R8">MINVERSE(MMULT(TRANSPOSE(X),X))</f>
        <v>3.5714384543241197E-2</v>
      </c>
      <c r="N3" s="357">
        <v>-3.8112093210940939E-3</v>
      </c>
      <c r="O3" s="357">
        <v>1.0319836577000047E-4</v>
      </c>
      <c r="P3" s="357">
        <v>1.9324175393417177E-4</v>
      </c>
      <c r="Q3" s="357">
        <v>3.8689352990822039E-3</v>
      </c>
      <c r="R3" s="356">
        <v>4.5339670057895644E-5</v>
      </c>
      <c r="S3" s="337">
        <f t="array" ref="S3:S8">MMULT(TRANSPOSE(X),y)</f>
        <v>1391.8000000000002</v>
      </c>
    </row>
    <row r="4" spans="1:30" ht="15" customHeight="1">
      <c r="A4" s="305">
        <v>2</v>
      </c>
      <c r="B4" s="307">
        <v>89.5</v>
      </c>
      <c r="C4" s="307">
        <v>82.624049012813998</v>
      </c>
      <c r="D4" s="302">
        <v>1</v>
      </c>
      <c r="E4" s="301">
        <v>-0.4964809446072791</v>
      </c>
      <c r="F4" s="306">
        <v>60.851617432882371</v>
      </c>
      <c r="G4" s="305">
        <v>1</v>
      </c>
      <c r="H4" s="299">
        <v>-1.2210000000000001</v>
      </c>
      <c r="I4" s="299">
        <v>1.6220000000000001</v>
      </c>
      <c r="J4" s="299">
        <v>-1.0289999999999999</v>
      </c>
      <c r="K4" s="299">
        <v>-1.22</v>
      </c>
      <c r="L4" s="304">
        <f t="shared" si="0"/>
        <v>1.2902263823857134</v>
      </c>
      <c r="M4" s="352">
        <v>-3.8112093210940939E-3</v>
      </c>
      <c r="N4" s="355">
        <v>151.53016270958304</v>
      </c>
      <c r="O4" s="355">
        <v>-4.5206551575132288</v>
      </c>
      <c r="P4" s="355">
        <v>-8.2200420183480709</v>
      </c>
      <c r="Q4" s="355">
        <v>-153.78213790520698</v>
      </c>
      <c r="R4" s="352">
        <v>-1.6876803877955895</v>
      </c>
      <c r="S4" s="279">
        <v>96.435200000000037</v>
      </c>
      <c r="AB4" s="241"/>
      <c r="AC4" s="241"/>
      <c r="AD4" s="241"/>
    </row>
    <row r="5" spans="1:30" ht="15" customHeight="1">
      <c r="A5" s="305">
        <v>3</v>
      </c>
      <c r="B5" s="307">
        <v>53.6</v>
      </c>
      <c r="C5" s="307">
        <v>57.481500850362728</v>
      </c>
      <c r="D5" s="302">
        <v>1</v>
      </c>
      <c r="E5" s="301">
        <v>-0.97982023212496827</v>
      </c>
      <c r="F5" s="306">
        <v>54.249703028247396</v>
      </c>
      <c r="G5" s="305">
        <v>1</v>
      </c>
      <c r="H5" s="299">
        <v>-1.2210000000000001</v>
      </c>
      <c r="I5" s="299">
        <v>0.48299999999999998</v>
      </c>
      <c r="J5" s="299">
        <v>0.375</v>
      </c>
      <c r="K5" s="299">
        <v>-1.22</v>
      </c>
      <c r="L5" s="304">
        <f t="shared" si="0"/>
        <v>-0.56627767043301702</v>
      </c>
      <c r="M5" s="352">
        <v>1.0319836577000051E-4</v>
      </c>
      <c r="N5" s="355">
        <v>-4.5206551575132323</v>
      </c>
      <c r="O5" s="355">
        <v>0.23428089165143581</v>
      </c>
      <c r="P5" s="355">
        <v>0.28509174625619316</v>
      </c>
      <c r="Q5" s="355">
        <v>4.5603799383070163</v>
      </c>
      <c r="R5" s="352">
        <v>-2.2035782476068654E-3</v>
      </c>
      <c r="S5" s="270">
        <v>341.87469999999996</v>
      </c>
      <c r="AB5" s="241"/>
      <c r="AC5" s="241"/>
      <c r="AD5" s="241"/>
    </row>
    <row r="6" spans="1:30" ht="15" customHeight="1">
      <c r="A6" s="305">
        <v>4</v>
      </c>
      <c r="B6" s="307">
        <v>43</v>
      </c>
      <c r="C6" s="307">
        <v>47.519856613253388</v>
      </c>
      <c r="D6" s="302">
        <v>1</v>
      </c>
      <c r="E6" s="301">
        <v>-0.74937818187663252</v>
      </c>
      <c r="F6" s="306">
        <v>51.630108432398636</v>
      </c>
      <c r="G6" s="305">
        <v>1</v>
      </c>
      <c r="H6" s="299">
        <v>-1.2210000000000001</v>
      </c>
      <c r="I6" s="299">
        <v>0.20799999999999999</v>
      </c>
      <c r="J6" s="299">
        <v>0.76200000000000001</v>
      </c>
      <c r="K6" s="299">
        <v>-1.22</v>
      </c>
      <c r="L6" s="304">
        <f t="shared" si="0"/>
        <v>-0.7134176930960936</v>
      </c>
      <c r="M6" s="352">
        <v>1.9324175393417231E-4</v>
      </c>
      <c r="N6" s="355">
        <v>-8.2200420183480922</v>
      </c>
      <c r="O6" s="355">
        <v>0.28509174625619366</v>
      </c>
      <c r="P6" s="355">
        <v>0.51396704738507426</v>
      </c>
      <c r="Q6" s="355">
        <v>8.3573067064106024</v>
      </c>
      <c r="R6" s="352">
        <v>8.962009258030712E-2</v>
      </c>
      <c r="S6" s="270">
        <v>-572.54149999999993</v>
      </c>
      <c r="AB6" s="241"/>
      <c r="AC6" s="241"/>
      <c r="AD6" s="241"/>
    </row>
    <row r="7" spans="1:30" ht="15" customHeight="1">
      <c r="A7" s="305">
        <v>5</v>
      </c>
      <c r="B7" s="307">
        <v>39.299999999999997</v>
      </c>
      <c r="C7" s="307">
        <v>40.951838915093312</v>
      </c>
      <c r="D7" s="302">
        <v>1</v>
      </c>
      <c r="E7" s="301">
        <v>-0.18879041218238324</v>
      </c>
      <c r="F7" s="306">
        <v>49.678440411729518</v>
      </c>
      <c r="G7" s="305">
        <v>1</v>
      </c>
      <c r="H7" s="299">
        <v>-1.2210000000000001</v>
      </c>
      <c r="I7" s="299">
        <v>-0.89200000000000002</v>
      </c>
      <c r="J7" s="299">
        <v>0.71199999999999997</v>
      </c>
      <c r="K7" s="299">
        <v>-1.22</v>
      </c>
      <c r="L7" s="304">
        <f t="shared" si="0"/>
        <v>-0.1308198609598018</v>
      </c>
      <c r="M7" s="352">
        <v>3.8689352990822056E-3</v>
      </c>
      <c r="N7" s="355">
        <v>-153.78213790520704</v>
      </c>
      <c r="O7" s="355">
        <v>4.5603799383070154</v>
      </c>
      <c r="P7" s="355">
        <v>8.3573067064105846</v>
      </c>
      <c r="Q7" s="355">
        <v>156.12808325904069</v>
      </c>
      <c r="R7" s="352">
        <v>1.747455852449628</v>
      </c>
      <c r="S7" s="270">
        <v>114.40630000000017</v>
      </c>
      <c r="AB7" s="241"/>
      <c r="AC7" s="241"/>
      <c r="AD7" s="241"/>
    </row>
    <row r="8" spans="1:30" ht="15" customHeight="1">
      <c r="A8" s="305">
        <v>6</v>
      </c>
      <c r="B8" s="307">
        <v>33.1</v>
      </c>
      <c r="C8" s="307">
        <v>33.550979908370124</v>
      </c>
      <c r="D8" s="302">
        <v>1</v>
      </c>
      <c r="E8" s="301">
        <v>0.35873576895677362</v>
      </c>
      <c r="F8" s="306">
        <v>46.171911461414751</v>
      </c>
      <c r="G8" s="305">
        <v>1</v>
      </c>
      <c r="H8" s="299">
        <v>-1.2210000000000001</v>
      </c>
      <c r="I8" s="299">
        <v>-1.167</v>
      </c>
      <c r="J8" s="299">
        <v>0.81899999999999995</v>
      </c>
      <c r="K8" s="299">
        <v>-1.22</v>
      </c>
      <c r="L8" s="304">
        <f t="shared" si="0"/>
        <v>0.30761907777142072</v>
      </c>
      <c r="M8" s="354">
        <v>4.533967005789599E-5</v>
      </c>
      <c r="N8" s="353">
        <v>-1.687680387795603</v>
      </c>
      <c r="O8" s="353">
        <v>-2.2035782476064404E-3</v>
      </c>
      <c r="P8" s="353">
        <v>8.9620092580307675E-2</v>
      </c>
      <c r="Q8" s="353">
        <v>1.7474558524496415</v>
      </c>
      <c r="R8" s="352">
        <v>9.3460368959175741E-2</v>
      </c>
      <c r="S8" s="287">
        <v>66.720747040887318</v>
      </c>
      <c r="AB8" s="241"/>
      <c r="AC8" s="241"/>
      <c r="AD8" s="241"/>
    </row>
    <row r="9" spans="1:30" ht="15" customHeight="1">
      <c r="A9" s="305">
        <v>7</v>
      </c>
      <c r="B9" s="307">
        <v>33.700000000000003</v>
      </c>
      <c r="C9" s="307">
        <v>35.273438861721132</v>
      </c>
      <c r="D9" s="302">
        <v>1</v>
      </c>
      <c r="E9" s="301">
        <v>0.39505317533733852</v>
      </c>
      <c r="F9" s="306">
        <v>44.737211509704473</v>
      </c>
      <c r="G9" s="305">
        <v>1</v>
      </c>
      <c r="H9" s="299">
        <v>-1.2210000000000001</v>
      </c>
      <c r="I9" s="299">
        <v>-1.246</v>
      </c>
      <c r="J9" s="299">
        <v>0.70099999999999996</v>
      </c>
      <c r="K9" s="299">
        <v>-1.22</v>
      </c>
      <c r="L9" s="304">
        <f t="shared" si="0"/>
        <v>0.45522524064574932</v>
      </c>
      <c r="M9" s="351" t="s">
        <v>27</v>
      </c>
      <c r="N9" s="329" t="s">
        <v>30</v>
      </c>
      <c r="O9" s="333" t="s">
        <v>31</v>
      </c>
      <c r="P9" s="333" t="s">
        <v>32</v>
      </c>
      <c r="Q9" s="350" t="s">
        <v>3</v>
      </c>
      <c r="R9" s="349" t="s">
        <v>33</v>
      </c>
      <c r="AB9" s="241"/>
      <c r="AC9" s="241"/>
      <c r="AD9" s="241"/>
    </row>
    <row r="10" spans="1:30" ht="15" customHeight="1">
      <c r="A10" s="305">
        <v>8</v>
      </c>
      <c r="B10" s="307">
        <v>32.200000000000003</v>
      </c>
      <c r="C10" s="307">
        <v>33.550979908370124</v>
      </c>
      <c r="D10" s="302">
        <v>1</v>
      </c>
      <c r="E10" s="301">
        <v>0.35873576895677362</v>
      </c>
      <c r="F10" s="306">
        <v>45.271911461414753</v>
      </c>
      <c r="G10" s="305">
        <v>1</v>
      </c>
      <c r="H10" s="299">
        <v>-1.2210000000000001</v>
      </c>
      <c r="I10" s="299">
        <v>-1.167</v>
      </c>
      <c r="J10" s="299">
        <v>0.81899999999999995</v>
      </c>
      <c r="K10" s="299">
        <v>-1.22</v>
      </c>
      <c r="L10" s="304">
        <f t="shared" si="0"/>
        <v>0.30761907777142072</v>
      </c>
      <c r="M10" s="348" t="s">
        <v>5</v>
      </c>
      <c r="N10" s="345">
        <f>SUMSQ(y_hat)-28*y_bar^2</f>
        <v>13639.343206155376</v>
      </c>
      <c r="O10" s="245">
        <f>6-1</f>
        <v>5</v>
      </c>
      <c r="P10" s="347">
        <f>N10/O10</f>
        <v>2727.8686412310753</v>
      </c>
      <c r="Q10" s="346">
        <f>P10/P11</f>
        <v>88.727522006725962</v>
      </c>
      <c r="R10" s="339">
        <f>FDIST(Q10,O10,O11)</f>
        <v>7.899909053972802E-14</v>
      </c>
      <c r="AB10" s="241"/>
      <c r="AC10" s="241"/>
      <c r="AD10" s="241"/>
    </row>
    <row r="11" spans="1:30" ht="15" customHeight="1">
      <c r="A11" s="305">
        <v>9</v>
      </c>
      <c r="B11" s="307">
        <v>31.9</v>
      </c>
      <c r="C11" s="307">
        <v>32.750702871909994</v>
      </c>
      <c r="D11" s="302">
        <v>1</v>
      </c>
      <c r="E11" s="301">
        <v>0.48423181546884941</v>
      </c>
      <c r="F11" s="306">
        <v>44.693228991723572</v>
      </c>
      <c r="G11" s="305">
        <v>1</v>
      </c>
      <c r="H11" s="299">
        <v>-1.2210000000000001</v>
      </c>
      <c r="I11" s="299">
        <v>-1.246</v>
      </c>
      <c r="J11" s="299">
        <v>0.79400000000000004</v>
      </c>
      <c r="K11" s="299">
        <v>-1.22</v>
      </c>
      <c r="L11" s="304">
        <f t="shared" si="0"/>
        <v>0.45522524064574932</v>
      </c>
      <c r="M11" s="342" t="s">
        <v>6</v>
      </c>
      <c r="N11" s="345">
        <f>SUMSQ(y)-SUMSQ(y_hat)</f>
        <v>676.37536527318298</v>
      </c>
      <c r="O11" s="245">
        <f>28-6</f>
        <v>22</v>
      </c>
      <c r="P11" s="245">
        <f>N11/O11</f>
        <v>30.74433478514468</v>
      </c>
      <c r="Q11" s="294" t="s">
        <v>111</v>
      </c>
      <c r="R11" s="344">
        <f>SQRT(P11)</f>
        <v>5.5447574144541871</v>
      </c>
      <c r="S11" s="245"/>
      <c r="AB11" s="241"/>
      <c r="AC11" s="241"/>
      <c r="AD11" s="241"/>
    </row>
    <row r="12" spans="1:30" ht="15" customHeight="1">
      <c r="A12" s="283">
        <v>10</v>
      </c>
      <c r="B12" s="303">
        <v>30.6</v>
      </c>
      <c r="C12" s="303">
        <v>29.069914928396063</v>
      </c>
      <c r="D12" s="302">
        <v>1</v>
      </c>
      <c r="E12" s="301">
        <v>0.42776587736766231</v>
      </c>
      <c r="F12" s="306">
        <v>47.559486098460624</v>
      </c>
      <c r="G12" s="283">
        <v>1</v>
      </c>
      <c r="H12" s="282">
        <v>-1.2210000000000001</v>
      </c>
      <c r="I12" s="282">
        <v>-1.089</v>
      </c>
      <c r="J12" s="282">
        <v>1.0349999999999999</v>
      </c>
      <c r="K12" s="282">
        <v>-1.22</v>
      </c>
      <c r="L12" s="281">
        <f t="shared" si="0"/>
        <v>0.17136366133686592</v>
      </c>
      <c r="M12" s="342" t="s">
        <v>7</v>
      </c>
      <c r="N12" s="341">
        <f>SUMSQ(y)-28*y_bar^2</f>
        <v>14315.718571428559</v>
      </c>
      <c r="O12" s="340">
        <f>28-1</f>
        <v>27</v>
      </c>
      <c r="P12" s="340"/>
      <c r="Q12" s="302" t="s">
        <v>110</v>
      </c>
      <c r="R12" s="339">
        <f>N10/N12</f>
        <v>0.95275295739446153</v>
      </c>
      <c r="S12" s="338" t="s">
        <v>109</v>
      </c>
      <c r="T12" s="337">
        <f>_xlfn.T.INV.2T(0.05/2,O11)</f>
        <v>2.4054727462619341</v>
      </c>
      <c r="AB12" s="241"/>
      <c r="AC12" s="241"/>
      <c r="AD12" s="241"/>
    </row>
    <row r="13" spans="1:30" ht="15" customHeight="1">
      <c r="A13" s="291">
        <v>11</v>
      </c>
      <c r="B13" s="309">
        <v>26.2</v>
      </c>
      <c r="C13" s="309">
        <v>20.028518149098968</v>
      </c>
      <c r="D13" s="302">
        <v>1</v>
      </c>
      <c r="E13" s="301">
        <v>0.93396065656216742</v>
      </c>
      <c r="F13" s="306">
        <v>47.848844035454206</v>
      </c>
      <c r="G13" s="291">
        <v>1</v>
      </c>
      <c r="H13" s="290">
        <v>-1.2210000000000001</v>
      </c>
      <c r="I13" s="290">
        <v>-1.246</v>
      </c>
      <c r="J13" s="290">
        <v>1.2629999999999999</v>
      </c>
      <c r="K13" s="290">
        <v>-1.22</v>
      </c>
      <c r="L13" s="289">
        <f t="shared" si="0"/>
        <v>0.45522524064574932</v>
      </c>
      <c r="M13" s="587" t="s">
        <v>108</v>
      </c>
      <c r="N13" s="616"/>
      <c r="O13" s="616"/>
      <c r="P13" s="616"/>
      <c r="Q13" s="616"/>
      <c r="R13" s="616"/>
      <c r="S13" s="336" t="s">
        <v>107</v>
      </c>
      <c r="T13" s="335">
        <f t="array" ref="T13">MMULT(MMULT(MINVERSE(MMULT(MMULT(TRANSPOSE(x_SV),INV_XTX),x_SV)),TRANSPOSE(x_SV)),a)</f>
        <v>-91.991480846045135</v>
      </c>
      <c r="X13" s="144"/>
      <c r="AB13" s="241"/>
      <c r="AC13" s="241"/>
      <c r="AD13" s="241"/>
    </row>
    <row r="14" spans="1:30" ht="15" customHeight="1">
      <c r="A14" s="305">
        <v>12</v>
      </c>
      <c r="B14" s="307">
        <v>28.2</v>
      </c>
      <c r="C14" s="307">
        <v>28.000784265904958</v>
      </c>
      <c r="D14" s="302">
        <v>1</v>
      </c>
      <c r="E14" s="301">
        <v>-0.18546216798164039</v>
      </c>
      <c r="F14" s="306">
        <v>51.500880289225989</v>
      </c>
      <c r="G14" s="305">
        <v>1</v>
      </c>
      <c r="H14" s="299">
        <v>0.79</v>
      </c>
      <c r="I14" s="299">
        <v>-0.224</v>
      </c>
      <c r="J14" s="299">
        <v>0.83099999999999996</v>
      </c>
      <c r="K14" s="299">
        <v>0.748</v>
      </c>
      <c r="L14" s="304">
        <f t="shared" si="0"/>
        <v>-0.70806559817886061</v>
      </c>
      <c r="M14" s="329" t="s">
        <v>106</v>
      </c>
      <c r="N14" s="330" t="s">
        <v>105</v>
      </c>
      <c r="O14" s="330" t="s">
        <v>104</v>
      </c>
      <c r="P14" s="330" t="s">
        <v>103</v>
      </c>
      <c r="Q14" s="334" t="s">
        <v>39</v>
      </c>
      <c r="R14" s="333" t="s">
        <v>44</v>
      </c>
      <c r="S14" s="332" t="s">
        <v>43</v>
      </c>
      <c r="T14" s="332" t="s">
        <v>33</v>
      </c>
      <c r="U14" s="331" t="s">
        <v>102</v>
      </c>
      <c r="X14" s="144"/>
      <c r="AB14" s="241"/>
      <c r="AC14" s="241"/>
      <c r="AD14" s="241"/>
    </row>
    <row r="15" spans="1:30" ht="15" customHeight="1">
      <c r="A15" s="305">
        <v>13</v>
      </c>
      <c r="B15" s="307">
        <v>29.3</v>
      </c>
      <c r="C15" s="307">
        <v>28.000784265904958</v>
      </c>
      <c r="D15" s="302">
        <v>1</v>
      </c>
      <c r="E15" s="301">
        <v>-0.18546216798164039</v>
      </c>
      <c r="F15" s="306">
        <v>52.600880289225998</v>
      </c>
      <c r="G15" s="305">
        <v>1</v>
      </c>
      <c r="H15" s="299">
        <v>0.79</v>
      </c>
      <c r="I15" s="299">
        <v>-0.224</v>
      </c>
      <c r="J15" s="299">
        <v>0.83099999999999996</v>
      </c>
      <c r="K15" s="299">
        <v>0.748</v>
      </c>
      <c r="L15" s="304">
        <f t="shared" si="0"/>
        <v>-0.70806559817886061</v>
      </c>
      <c r="M15" s="329">
        <v>0</v>
      </c>
      <c r="N15" s="265">
        <v>0</v>
      </c>
      <c r="O15" s="314">
        <f t="array" ref="O15:O20">MMULT(INV_XTX,x_SV)/MMULT(TRANSPOSE(x_SV),MMULT(INV_XTX,x_SV))</f>
        <v>4.8512188174327007E-4</v>
      </c>
      <c r="P15" s="314">
        <f t="array" ref="P15:P20">a-λ*MMULT(INV_XTX,x_SV)</f>
        <v>49.714214193393474</v>
      </c>
      <c r="Q15" s="328">
        <f t="array" ref="Q15:Q20">MMULT(M3:R8,S3:S8)</f>
        <v>49.710043330003778</v>
      </c>
      <c r="R15" s="312">
        <f t="array" ref="R15:R20">SQRT([1]!DIAG(M3:R8))*s</f>
        <v>1.0478621068837273</v>
      </c>
      <c r="S15" s="312">
        <f t="shared" ref="S15:S20" si="1">Q15/R15</f>
        <v>47.439489417017057</v>
      </c>
      <c r="T15" s="311">
        <f t="shared" ref="T15:T20" si="2">TDIST(ABS(S15),DFR,2)</f>
        <v>1.1825698202367313E-23</v>
      </c>
      <c r="U15" s="310" t="str">
        <f t="shared" ref="U15:U20" si="3">IF(TDIST(ABS(S15),DFR,2)&lt;=0.05,"*","")</f>
        <v>*</v>
      </c>
      <c r="X15" s="144"/>
      <c r="Z15"/>
      <c r="AA15"/>
    </row>
    <row r="16" spans="1:30" ht="15" customHeight="1">
      <c r="A16" s="305">
        <v>14</v>
      </c>
      <c r="B16" s="307">
        <v>30.4</v>
      </c>
      <c r="C16" s="307">
        <v>28.000784265904958</v>
      </c>
      <c r="D16" s="302">
        <v>1</v>
      </c>
      <c r="E16" s="301">
        <v>-0.18546216798164039</v>
      </c>
      <c r="F16" s="306">
        <v>53.700880289225992</v>
      </c>
      <c r="G16" s="305">
        <v>1</v>
      </c>
      <c r="H16" s="299">
        <v>0.79</v>
      </c>
      <c r="I16" s="299">
        <v>-0.224</v>
      </c>
      <c r="J16" s="299">
        <v>0.83099999999999996</v>
      </c>
      <c r="K16" s="299">
        <v>0.748</v>
      </c>
      <c r="L16" s="304">
        <f t="shared" si="0"/>
        <v>-0.70806559817886061</v>
      </c>
      <c r="M16" s="322" t="s">
        <v>99</v>
      </c>
      <c r="N16" s="326">
        <f>IF(M$46=M16,1,0)</f>
        <v>0</v>
      </c>
      <c r="O16" s="320">
        <v>-18.057711590383107</v>
      </c>
      <c r="P16" s="325">
        <v>-93.146250864795391</v>
      </c>
      <c r="Q16" s="324">
        <v>62.105967203348612</v>
      </c>
      <c r="R16" s="245">
        <v>68.254626600625883</v>
      </c>
      <c r="S16" s="245">
        <f t="shared" si="1"/>
        <v>0.90991585913648687</v>
      </c>
      <c r="T16" s="318">
        <f t="shared" si="2"/>
        <v>0.37272863039902193</v>
      </c>
      <c r="U16" s="317" t="str">
        <f t="shared" si="3"/>
        <v/>
      </c>
      <c r="X16" s="144"/>
      <c r="Z16"/>
      <c r="AA16"/>
    </row>
    <row r="17" spans="1:32" ht="15" customHeight="1">
      <c r="A17" s="305">
        <v>15</v>
      </c>
      <c r="B17" s="307">
        <v>29.7</v>
      </c>
      <c r="C17" s="307">
        <v>28.436547345327089</v>
      </c>
      <c r="D17" s="302">
        <v>1</v>
      </c>
      <c r="E17" s="301">
        <v>-0.16033742808314755</v>
      </c>
      <c r="F17" s="306">
        <v>52.349105807799631</v>
      </c>
      <c r="G17" s="305">
        <v>1</v>
      </c>
      <c r="H17" s="299">
        <v>0.79</v>
      </c>
      <c r="I17" s="299">
        <v>-0.38200000000000001</v>
      </c>
      <c r="J17" s="299">
        <v>0.77600000000000002</v>
      </c>
      <c r="K17" s="299">
        <v>0.748</v>
      </c>
      <c r="L17" s="304">
        <f t="shared" si="0"/>
        <v>-0.63392607501114973</v>
      </c>
      <c r="M17" s="322" t="s">
        <v>98</v>
      </c>
      <c r="N17" s="321">
        <f>IF(M$46=M17,1,0)</f>
        <v>0</v>
      </c>
      <c r="O17" s="320">
        <v>-2.3577675459096534E-2</v>
      </c>
      <c r="P17" s="320">
        <v>2.4476612725193085</v>
      </c>
      <c r="Q17" s="323">
        <v>2.6503716986767971</v>
      </c>
      <c r="R17" s="245">
        <v>2.683805165561381</v>
      </c>
      <c r="S17" s="245">
        <f t="shared" si="1"/>
        <v>0.98754251340089716</v>
      </c>
      <c r="T17" s="318">
        <f t="shared" si="2"/>
        <v>0.33411422681709635</v>
      </c>
      <c r="U17" s="317" t="str">
        <f t="shared" si="3"/>
        <v/>
      </c>
      <c r="X17" s="144"/>
      <c r="Z17"/>
      <c r="AA17"/>
    </row>
    <row r="18" spans="1:32" ht="15" customHeight="1">
      <c r="A18" s="305">
        <v>16</v>
      </c>
      <c r="B18" s="307">
        <v>29.7</v>
      </c>
      <c r="C18" s="307">
        <v>28.436547345327089</v>
      </c>
      <c r="D18" s="302">
        <v>1</v>
      </c>
      <c r="E18" s="301">
        <v>-0.16033742808314755</v>
      </c>
      <c r="F18" s="306">
        <v>52.349105807799631</v>
      </c>
      <c r="G18" s="305">
        <v>1</v>
      </c>
      <c r="H18" s="299">
        <v>0.79</v>
      </c>
      <c r="I18" s="299">
        <v>-0.38200000000000001</v>
      </c>
      <c r="J18" s="299">
        <v>0.77600000000000002</v>
      </c>
      <c r="K18" s="299">
        <v>0.748</v>
      </c>
      <c r="L18" s="304">
        <f t="shared" si="0"/>
        <v>-0.63392607501114973</v>
      </c>
      <c r="M18" s="322" t="s">
        <v>97</v>
      </c>
      <c r="N18" s="321">
        <f>IF(M$46=M18,1,0)</f>
        <v>0</v>
      </c>
      <c r="O18" s="320">
        <v>0.95891010894097706</v>
      </c>
      <c r="P18" s="320">
        <v>-18.881908408807355</v>
      </c>
      <c r="Q18" s="323">
        <v>-27.126193438829468</v>
      </c>
      <c r="R18" s="245">
        <v>3.9751194917057577</v>
      </c>
      <c r="S18" s="245">
        <f t="shared" si="1"/>
        <v>-6.8239944724754391</v>
      </c>
      <c r="T18" s="318">
        <f t="shared" si="2"/>
        <v>7.4303329345170042E-7</v>
      </c>
      <c r="U18" s="317" t="str">
        <f t="shared" si="3"/>
        <v>*</v>
      </c>
      <c r="X18" s="144"/>
      <c r="Z18"/>
      <c r="AA18"/>
    </row>
    <row r="19" spans="1:32" ht="15" customHeight="1">
      <c r="A19" s="305">
        <v>17</v>
      </c>
      <c r="B19" s="307">
        <v>30.7</v>
      </c>
      <c r="C19" s="307">
        <v>28.436547345327089</v>
      </c>
      <c r="D19" s="302">
        <v>1</v>
      </c>
      <c r="E19" s="301">
        <v>-0.16033742808314755</v>
      </c>
      <c r="F19" s="306">
        <v>53.349105807799631</v>
      </c>
      <c r="G19" s="305">
        <v>1</v>
      </c>
      <c r="H19" s="299">
        <v>0.79</v>
      </c>
      <c r="I19" s="299">
        <v>-0.38200000000000001</v>
      </c>
      <c r="J19" s="299">
        <v>0.77600000000000002</v>
      </c>
      <c r="K19" s="299">
        <v>0.748</v>
      </c>
      <c r="L19" s="304">
        <f t="shared" si="0"/>
        <v>-0.63392607501114973</v>
      </c>
      <c r="M19" s="322" t="s">
        <v>96</v>
      </c>
      <c r="N19" s="321">
        <f>IF(M$46=M19,1,0)</f>
        <v>0</v>
      </c>
      <c r="O19" s="320">
        <v>18.697292466424255</v>
      </c>
      <c r="P19" s="320">
        <v>88.926107714538759</v>
      </c>
      <c r="Q19" s="319">
        <v>-71.824943865390665</v>
      </c>
      <c r="R19" s="245">
        <v>69.282422453887165</v>
      </c>
      <c r="S19" s="245">
        <f t="shared" si="1"/>
        <v>-1.036697928875044</v>
      </c>
      <c r="T19" s="318">
        <f t="shared" si="2"/>
        <v>0.31113789256222341</v>
      </c>
      <c r="U19" s="317" t="str">
        <f t="shared" si="3"/>
        <v/>
      </c>
      <c r="X19" s="144"/>
      <c r="Z19"/>
      <c r="AA19"/>
    </row>
    <row r="20" spans="1:32" ht="15" customHeight="1">
      <c r="A20" s="305">
        <v>18</v>
      </c>
      <c r="B20" s="307">
        <v>28.7</v>
      </c>
      <c r="C20" s="307">
        <v>27.402266942907271</v>
      </c>
      <c r="D20" s="302">
        <v>1</v>
      </c>
      <c r="E20" s="301">
        <v>-0.17697468438429764</v>
      </c>
      <c r="F20" s="306">
        <v>52.526425981919942</v>
      </c>
      <c r="G20" s="305">
        <v>1</v>
      </c>
      <c r="H20" s="299">
        <v>0.79</v>
      </c>
      <c r="I20" s="299">
        <v>-0.107</v>
      </c>
      <c r="J20" s="299">
        <v>0.874</v>
      </c>
      <c r="K20" s="299">
        <v>0.748</v>
      </c>
      <c r="L20" s="304">
        <f t="shared" si="0"/>
        <v>-0.73805266123726332</v>
      </c>
      <c r="M20" s="316" t="s">
        <v>95</v>
      </c>
      <c r="N20" s="265">
        <f>IF(M$46=M20,1,0)</f>
        <v>1</v>
      </c>
      <c r="O20" s="315">
        <v>1</v>
      </c>
      <c r="P20" s="314">
        <v>0</v>
      </c>
      <c r="Q20" s="313">
        <v>-8.5975577409723272</v>
      </c>
      <c r="R20" s="312">
        <v>1.6951037939973006</v>
      </c>
      <c r="S20" s="312">
        <f t="shared" si="1"/>
        <v>-5.0719948662836973</v>
      </c>
      <c r="T20" s="311">
        <f t="shared" si="2"/>
        <v>4.4263102525501618E-5</v>
      </c>
      <c r="U20" s="310" t="str">
        <f t="shared" si="3"/>
        <v>*</v>
      </c>
      <c r="X20" s="144"/>
      <c r="Z20"/>
      <c r="AA20"/>
    </row>
    <row r="21" spans="1:32" ht="15" customHeight="1">
      <c r="A21" s="305">
        <v>19</v>
      </c>
      <c r="B21" s="307">
        <v>36</v>
      </c>
      <c r="C21" s="307">
        <v>46.269536649138885</v>
      </c>
      <c r="D21" s="302">
        <v>1</v>
      </c>
      <c r="E21" s="301">
        <v>-0.60649833641992723</v>
      </c>
      <c r="F21" s="306">
        <v>44.652010675177962</v>
      </c>
      <c r="G21" s="305">
        <v>1</v>
      </c>
      <c r="H21" s="299">
        <v>0.79</v>
      </c>
      <c r="I21" s="299">
        <v>0.6</v>
      </c>
      <c r="J21" s="299">
        <v>0.16200000000000001</v>
      </c>
      <c r="K21" s="299">
        <v>0.748</v>
      </c>
      <c r="L21" s="304">
        <f t="shared" si="0"/>
        <v>-0.46816289915733694</v>
      </c>
      <c r="X21" s="144"/>
    </row>
    <row r="22" spans="1:32" ht="15" customHeight="1">
      <c r="A22" s="283">
        <v>20</v>
      </c>
      <c r="B22" s="303">
        <v>81.5</v>
      </c>
      <c r="C22" s="303">
        <v>72.846546840241786</v>
      </c>
      <c r="D22" s="302">
        <v>1</v>
      </c>
      <c r="E22" s="301">
        <v>-1.1810091163615053</v>
      </c>
      <c r="F22" s="306">
        <v>68.51439008743381</v>
      </c>
      <c r="G22" s="283">
        <v>1</v>
      </c>
      <c r="H22" s="282">
        <v>0.79</v>
      </c>
      <c r="I22" s="282">
        <v>0.99299999999999999</v>
      </c>
      <c r="J22" s="282">
        <v>-0.93300000000000005</v>
      </c>
      <c r="K22" s="282">
        <v>0.748</v>
      </c>
      <c r="L22" s="281">
        <f t="shared" si="0"/>
        <v>1.6598916646880624E-2</v>
      </c>
      <c r="R22" s="144"/>
      <c r="U22" s="144"/>
      <c r="V22" s="144"/>
      <c r="W22" s="144"/>
      <c r="X22" s="144"/>
    </row>
    <row r="23" spans="1:32" ht="15" customHeight="1">
      <c r="A23" s="291">
        <v>21</v>
      </c>
      <c r="B23" s="309">
        <v>48.5</v>
      </c>
      <c r="C23" s="309">
        <v>55.845522088480649</v>
      </c>
      <c r="D23" s="302">
        <v>1</v>
      </c>
      <c r="E23" s="301">
        <v>1.2368349060862087</v>
      </c>
      <c r="F23" s="306">
        <v>31.727861247535976</v>
      </c>
      <c r="G23" s="291">
        <v>1</v>
      </c>
      <c r="H23" s="290">
        <v>0.79</v>
      </c>
      <c r="I23" s="290">
        <v>2.0539999999999998</v>
      </c>
      <c r="J23" s="290">
        <v>-0.996</v>
      </c>
      <c r="K23" s="290">
        <v>0.748</v>
      </c>
      <c r="L23" s="289">
        <f t="shared" si="0"/>
        <v>2.5198701896199758</v>
      </c>
      <c r="M23" s="144"/>
      <c r="N23" s="144"/>
      <c r="O23" s="144"/>
      <c r="P23" s="144"/>
      <c r="Q23" s="144"/>
      <c r="R23" s="144"/>
      <c r="U23" s="144"/>
      <c r="V23" s="144"/>
      <c r="W23" s="144"/>
      <c r="X23" s="144"/>
    </row>
    <row r="24" spans="1:32" ht="15" customHeight="1">
      <c r="A24" s="305">
        <v>22</v>
      </c>
      <c r="B24" s="307">
        <v>50.4</v>
      </c>
      <c r="C24" s="307">
        <v>51.42413264554186</v>
      </c>
      <c r="D24" s="302">
        <v>1</v>
      </c>
      <c r="E24" s="301">
        <v>1.765046019267682</v>
      </c>
      <c r="F24" s="306">
        <v>33.507925145473735</v>
      </c>
      <c r="G24" s="305">
        <v>1</v>
      </c>
      <c r="H24" s="299">
        <v>0.79</v>
      </c>
      <c r="I24" s="299">
        <v>2.2109999999999999</v>
      </c>
      <c r="J24" s="299">
        <v>-0.98199999999999998</v>
      </c>
      <c r="K24" s="299">
        <v>0.748</v>
      </c>
      <c r="L24" s="304">
        <f t="shared" si="0"/>
        <v>3.0383582563233538</v>
      </c>
      <c r="M24" s="144"/>
      <c r="O24" s="308"/>
      <c r="P24" s="144"/>
      <c r="Q24" s="144"/>
      <c r="R24" s="144"/>
      <c r="U24" s="144"/>
      <c r="V24" s="144"/>
      <c r="W24" s="144"/>
      <c r="X24" s="144"/>
      <c r="Y24" s="297"/>
      <c r="AF24" s="255"/>
    </row>
    <row r="25" spans="1:32" ht="15" customHeight="1">
      <c r="A25" s="305">
        <v>23</v>
      </c>
      <c r="B25" s="307">
        <v>89.2</v>
      </c>
      <c r="C25" s="307">
        <v>76.319773653595377</v>
      </c>
      <c r="D25" s="302">
        <v>1</v>
      </c>
      <c r="E25" s="301">
        <v>0.48013519870603455</v>
      </c>
      <c r="F25" s="306">
        <v>58.459379109199126</v>
      </c>
      <c r="G25" s="305">
        <v>1</v>
      </c>
      <c r="H25" s="299">
        <v>0.79</v>
      </c>
      <c r="I25" s="299">
        <v>0.89500000000000002</v>
      </c>
      <c r="J25" s="299">
        <v>-1.335</v>
      </c>
      <c r="K25" s="299">
        <v>0.86499999999999999</v>
      </c>
      <c r="L25" s="304">
        <f t="shared" si="0"/>
        <v>-0.12666873525793759</v>
      </c>
      <c r="M25" s="144"/>
      <c r="N25" s="144"/>
      <c r="O25" s="144"/>
      <c r="P25" s="144"/>
      <c r="Q25" s="144"/>
      <c r="R25" s="144"/>
      <c r="U25" s="144"/>
      <c r="V25" s="144"/>
      <c r="W25" s="144"/>
      <c r="X25" s="144"/>
      <c r="AF25" s="255"/>
    </row>
    <row r="26" spans="1:32" ht="15" customHeight="1">
      <c r="A26" s="305">
        <v>24</v>
      </c>
      <c r="B26" s="307">
        <v>82.7</v>
      </c>
      <c r="C26" s="307">
        <v>78.45722116820059</v>
      </c>
      <c r="D26" s="302">
        <v>1</v>
      </c>
      <c r="E26" s="301">
        <v>-8.1637697724690983E-2</v>
      </c>
      <c r="F26" s="306">
        <v>54.65180650897036</v>
      </c>
      <c r="G26" s="305">
        <v>1</v>
      </c>
      <c r="H26" s="299">
        <v>0.79</v>
      </c>
      <c r="I26" s="299">
        <v>-0.20499999999999999</v>
      </c>
      <c r="J26" s="299">
        <v>-1.335</v>
      </c>
      <c r="K26" s="299">
        <v>0.86499999999999999</v>
      </c>
      <c r="L26" s="304">
        <f t="shared" si="0"/>
        <v>-0.71437707469367051</v>
      </c>
      <c r="M26" s="144"/>
      <c r="N26" s="144"/>
      <c r="O26" s="144"/>
      <c r="P26" s="144"/>
      <c r="Q26" s="144"/>
      <c r="R26" s="144"/>
      <c r="U26" s="144"/>
      <c r="V26" s="144"/>
      <c r="W26" s="144"/>
      <c r="X26" s="144"/>
      <c r="AF26" s="255"/>
    </row>
    <row r="27" spans="1:32" ht="15" customHeight="1">
      <c r="A27" s="305">
        <v>25</v>
      </c>
      <c r="B27" s="307">
        <v>78.599999999999994</v>
      </c>
      <c r="C27" s="307">
        <v>78.562155189510847</v>
      </c>
      <c r="D27" s="302">
        <v>1</v>
      </c>
      <c r="E27" s="301">
        <v>-8.8148941678667714E-2</v>
      </c>
      <c r="F27" s="306">
        <v>50.502853283519975</v>
      </c>
      <c r="G27" s="305">
        <v>1</v>
      </c>
      <c r="H27" s="299">
        <v>0.79</v>
      </c>
      <c r="I27" s="299">
        <v>-0.185</v>
      </c>
      <c r="J27" s="299">
        <v>-1.335</v>
      </c>
      <c r="K27" s="299">
        <v>0.86499999999999999</v>
      </c>
      <c r="L27" s="304">
        <f t="shared" si="0"/>
        <v>-0.72041676513846464</v>
      </c>
      <c r="M27" s="144"/>
      <c r="N27" s="144"/>
      <c r="O27" s="144"/>
      <c r="P27" s="144"/>
      <c r="Q27" s="144"/>
      <c r="R27" s="144"/>
      <c r="U27" s="144"/>
      <c r="V27" s="144"/>
      <c r="W27" s="144"/>
      <c r="AF27" s="255"/>
    </row>
    <row r="28" spans="1:32" ht="15" customHeight="1">
      <c r="A28" s="305">
        <v>26</v>
      </c>
      <c r="B28" s="307">
        <v>75.400000000000006</v>
      </c>
      <c r="C28" s="307">
        <v>78.99934739957699</v>
      </c>
      <c r="D28" s="302">
        <v>1</v>
      </c>
      <c r="E28" s="301">
        <v>-0.11109980880909875</v>
      </c>
      <c r="F28" s="306">
        <v>47.06298247881309</v>
      </c>
      <c r="G28" s="305">
        <v>1</v>
      </c>
      <c r="H28" s="299">
        <v>0.79</v>
      </c>
      <c r="I28" s="299">
        <v>-8.6999999999999994E-2</v>
      </c>
      <c r="J28" s="299">
        <v>-1.335</v>
      </c>
      <c r="K28" s="299">
        <v>0.86499999999999999</v>
      </c>
      <c r="L28" s="304">
        <f t="shared" si="0"/>
        <v>-0.7410570200739045</v>
      </c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298"/>
      <c r="Y28" s="297"/>
    </row>
    <row r="29" spans="1:32" ht="15" customHeight="1">
      <c r="A29" s="305">
        <v>27</v>
      </c>
      <c r="B29" s="307">
        <v>70.900000000000006</v>
      </c>
      <c r="C29" s="307">
        <v>78.99934739957699</v>
      </c>
      <c r="D29" s="302">
        <v>1</v>
      </c>
      <c r="E29" s="301">
        <v>-0.11109980880909875</v>
      </c>
      <c r="F29" s="306">
        <v>42.56298247881309</v>
      </c>
      <c r="G29" s="305">
        <v>1</v>
      </c>
      <c r="H29" s="299">
        <v>0.79</v>
      </c>
      <c r="I29" s="299">
        <v>-8.6999999999999994E-2</v>
      </c>
      <c r="J29" s="299">
        <v>-1.335</v>
      </c>
      <c r="K29" s="299">
        <v>0.86499999999999999</v>
      </c>
      <c r="L29" s="304">
        <f t="shared" si="0"/>
        <v>-0.7410570200739045</v>
      </c>
      <c r="O29" s="144"/>
      <c r="P29" s="144"/>
      <c r="X29" s="298"/>
      <c r="Y29" s="297"/>
      <c r="AF29" s="255"/>
    </row>
    <row r="30" spans="1:32" ht="15" customHeight="1">
      <c r="A30" s="283">
        <v>28</v>
      </c>
      <c r="B30" s="303">
        <v>73.099999999999994</v>
      </c>
      <c r="C30" s="303">
        <v>78.562155189510847</v>
      </c>
      <c r="D30" s="302">
        <v>1</v>
      </c>
      <c r="E30" s="301">
        <v>-8.8148941678667714E-2</v>
      </c>
      <c r="F30" s="300">
        <v>45.002853283519975</v>
      </c>
      <c r="G30" s="283">
        <v>1</v>
      </c>
      <c r="H30" s="299">
        <v>0.79</v>
      </c>
      <c r="I30" s="299">
        <v>-0.185</v>
      </c>
      <c r="J30" s="299">
        <v>-1.335</v>
      </c>
      <c r="K30" s="299">
        <v>0.86499999999999999</v>
      </c>
      <c r="L30" s="281">
        <f t="shared" si="0"/>
        <v>-0.72041676513846464</v>
      </c>
      <c r="N30" s="144"/>
      <c r="X30" s="298"/>
      <c r="Y30" s="297"/>
    </row>
    <row r="31" spans="1:32" ht="15" customHeight="1">
      <c r="A31" s="296" t="s">
        <v>93</v>
      </c>
      <c r="B31" s="279">
        <f t="shared" ref="B31:L31" si="4">AVERAGE(B3:B30)</f>
        <v>49.707142857142863</v>
      </c>
      <c r="C31" s="295">
        <f t="shared" si="4"/>
        <v>49.707142857142863</v>
      </c>
      <c r="D31" s="294">
        <f t="shared" si="4"/>
        <v>1</v>
      </c>
      <c r="E31" s="293">
        <f t="shared" si="4"/>
        <v>-2.4781763942525816E-16</v>
      </c>
      <c r="F31" s="292">
        <f t="shared" si="4"/>
        <v>49.707142857142848</v>
      </c>
      <c r="G31" s="291">
        <f t="shared" si="4"/>
        <v>1</v>
      </c>
      <c r="H31" s="290">
        <f t="shared" si="4"/>
        <v>-3.5714285714487968E-5</v>
      </c>
      <c r="I31" s="290">
        <f t="shared" si="4"/>
        <v>3.6677010634938206E-17</v>
      </c>
      <c r="J31" s="290">
        <f t="shared" si="4"/>
        <v>2.1428571428572241E-4</v>
      </c>
      <c r="K31" s="290">
        <f t="shared" si="4"/>
        <v>-7.142857142874595E-5</v>
      </c>
      <c r="L31" s="289">
        <f t="shared" si="4"/>
        <v>-1.1102230246251565E-16</v>
      </c>
    </row>
    <row r="32" spans="1:32" ht="15" customHeight="1">
      <c r="A32" s="288" t="s">
        <v>88</v>
      </c>
      <c r="B32" s="287">
        <f t="shared" ref="B32:L32" si="5">STDEV(B3:B30)</f>
        <v>23.026328386041023</v>
      </c>
      <c r="C32" s="286">
        <f t="shared" si="5"/>
        <v>22.475783845891474</v>
      </c>
      <c r="D32" s="285">
        <f t="shared" si="5"/>
        <v>0</v>
      </c>
      <c r="E32" s="284">
        <f t="shared" si="5"/>
        <v>0.62951252054387252</v>
      </c>
      <c r="F32" s="284">
        <f t="shared" si="5"/>
        <v>7.3718117616403118</v>
      </c>
      <c r="G32" s="283">
        <f t="shared" si="5"/>
        <v>0</v>
      </c>
      <c r="H32" s="282">
        <f t="shared" si="5"/>
        <v>1.0001657448622034</v>
      </c>
      <c r="I32" s="282">
        <f t="shared" si="5"/>
        <v>1.0001692819681041</v>
      </c>
      <c r="J32" s="282">
        <f t="shared" si="5"/>
        <v>1.0000014206339116</v>
      </c>
      <c r="K32" s="282">
        <f t="shared" si="5"/>
        <v>1.0003016925860302</v>
      </c>
      <c r="L32" s="281">
        <f t="shared" si="5"/>
        <v>0.99999999999999989</v>
      </c>
    </row>
    <row r="33" spans="1:17" ht="15" customHeight="1">
      <c r="A33" s="610" t="s">
        <v>94</v>
      </c>
      <c r="B33" s="611"/>
      <c r="C33" s="611"/>
      <c r="D33" s="611"/>
      <c r="E33" s="611"/>
      <c r="F33" s="611"/>
      <c r="G33" s="611"/>
      <c r="H33" s="611"/>
      <c r="I33" s="612"/>
      <c r="J33" s="613"/>
      <c r="K33" s="280" t="s">
        <v>93</v>
      </c>
      <c r="L33" s="279">
        <v>0.96461221428571442</v>
      </c>
    </row>
    <row r="34" spans="1:17" ht="15" customHeight="1">
      <c r="A34" s="278" t="s">
        <v>10</v>
      </c>
      <c r="B34" s="278">
        <v>0</v>
      </c>
      <c r="C34" s="277" t="s">
        <v>92</v>
      </c>
      <c r="D34" s="276" t="s">
        <v>91</v>
      </c>
      <c r="E34" s="275" t="s">
        <v>90</v>
      </c>
      <c r="F34" s="275" t="s">
        <v>89</v>
      </c>
      <c r="G34" s="274" t="s">
        <v>22</v>
      </c>
      <c r="H34" s="272" t="s">
        <v>23</v>
      </c>
      <c r="I34" s="273" t="s">
        <v>25</v>
      </c>
      <c r="J34" s="272" t="s">
        <v>26</v>
      </c>
      <c r="K34" s="271" t="s">
        <v>88</v>
      </c>
      <c r="L34" s="270">
        <v>1.2914569167569183</v>
      </c>
    </row>
    <row r="35" spans="1:17" ht="15" customHeight="1">
      <c r="A35" s="269">
        <v>1</v>
      </c>
      <c r="B35" s="268">
        <v>1</v>
      </c>
      <c r="C35" s="257">
        <f>MIN(E3:E30)</f>
        <v>-1.1810091163615053</v>
      </c>
      <c r="D35" s="254">
        <f t="array" ref="D35:D55">MMULT(B35:C55,K37:K38)</f>
        <v>59.860936927671332</v>
      </c>
      <c r="E35" s="244">
        <f t="array" ref="E35">SQRT(MMULT(MMULT(B35:C35,MINVERSE(MMULT(TRANSPOSE(D$3:E$30),D$3:E$30))),TRANSPOSE(B35:C35)))*s*t_crit</f>
        <v>5.4353826208530425</v>
      </c>
      <c r="F35" s="244">
        <f t="array" ref="F35">SQRT(1+MMULT(MMULT(B35:C35,MINVERSE(MMULT(TRANSPOSE(D$3:E$30),D$3:E$30))),TRANSPOSE(B35:C35)))*s*t_crit</f>
        <v>14.402753276623546</v>
      </c>
      <c r="G35" s="256">
        <f t="shared" ref="G35:G55" si="6">D35-E35</f>
        <v>54.425554306818292</v>
      </c>
      <c r="H35" s="254">
        <f t="shared" ref="H35:H55" si="7">D35+E35</f>
        <v>65.29631954852438</v>
      </c>
      <c r="I35" s="255">
        <f t="shared" ref="I35:I55" si="8">D35-F35</f>
        <v>45.45818365104779</v>
      </c>
      <c r="J35" s="254">
        <f t="shared" ref="J35:J55" si="9">D35+F35</f>
        <v>74.263690204294875</v>
      </c>
      <c r="K35" s="267" t="s">
        <v>87</v>
      </c>
      <c r="L35" s="266">
        <f>(C55-C35)/20</f>
        <v>0.14730275678145938</v>
      </c>
    </row>
    <row r="36" spans="1:17" ht="15" customHeight="1">
      <c r="A36" s="259">
        <v>2</v>
      </c>
      <c r="B36" s="258">
        <v>1</v>
      </c>
      <c r="C36" s="257">
        <f t="shared" ref="C36:C54" si="10">C35+L$35</f>
        <v>-1.033706359580046</v>
      </c>
      <c r="D36" s="254">
        <v>58.594492970838857</v>
      </c>
      <c r="E36" s="244">
        <f t="array" ref="E36">SQRT(MMULT(MMULT(B36:C36,MINVERSE(MMULT(TRANSPOSE(D$3:E$30),D$3:E$30))),TRANSPOSE(B36:C36)))*s*t_crit</f>
        <v>4.9111456572812155</v>
      </c>
      <c r="F36" s="244">
        <f t="array" ref="F36">SQRT(1+MMULT(MMULT(B36:C36,MINVERSE(MMULT(TRANSPOSE(D$3:E$30),D$3:E$30))),TRANSPOSE(B36:C36)))*s*t_crit</f>
        <v>14.213207568288416</v>
      </c>
      <c r="G36" s="256">
        <f t="shared" si="6"/>
        <v>53.68334731355764</v>
      </c>
      <c r="H36" s="254">
        <f t="shared" si="7"/>
        <v>63.505638628120074</v>
      </c>
      <c r="I36" s="255">
        <f t="shared" si="8"/>
        <v>44.381285402550439</v>
      </c>
      <c r="J36" s="254">
        <f t="shared" si="9"/>
        <v>72.807700539127268</v>
      </c>
      <c r="K36" s="265" t="s">
        <v>86</v>
      </c>
      <c r="L36" s="264" t="s">
        <v>85</v>
      </c>
    </row>
    <row r="37" spans="1:17" ht="15" customHeight="1">
      <c r="A37" s="259">
        <v>3</v>
      </c>
      <c r="B37" s="258">
        <v>1</v>
      </c>
      <c r="C37" s="257">
        <f t="shared" si="10"/>
        <v>-0.88640360279858665</v>
      </c>
      <c r="D37" s="254">
        <v>57.328049014006389</v>
      </c>
      <c r="E37" s="244">
        <f t="array" ref="E37">SQRT(MMULT(MMULT(B37:C37,MINVERSE(MMULT(TRANSPOSE(D$3:E$30),D$3:E$30))),TRANSPOSE(B37:C37)))*s*t_crit</f>
        <v>4.4064536598975241</v>
      </c>
      <c r="F37" s="244">
        <f t="array" ref="F37">SQRT(1+MMULT(MMULT(B37:C37,MINVERSE(MMULT(TRANSPOSE(D$3:E$30),D$3:E$30))),TRANSPOSE(B37:C37)))*s*t_crit</f>
        <v>14.046805742553833</v>
      </c>
      <c r="G37" s="256">
        <f t="shared" si="6"/>
        <v>52.921595354108867</v>
      </c>
      <c r="H37" s="254">
        <f t="shared" si="7"/>
        <v>61.734502673903911</v>
      </c>
      <c r="I37" s="255">
        <f t="shared" si="8"/>
        <v>43.281243271452553</v>
      </c>
      <c r="J37" s="254">
        <f t="shared" si="9"/>
        <v>71.374854756560225</v>
      </c>
      <c r="K37" s="263">
        <f t="array" ref="K37:K38">MMULT(MMULT(MINVERSE(MMULT(TRANSPOSE(D3:E30),D3:E30)),TRANSPOSE(D3:E30)),F3:F30)</f>
        <v>49.707142857142834</v>
      </c>
      <c r="L37" s="262">
        <f>MIN(F3:F30)</f>
        <v>31.727861247535976</v>
      </c>
    </row>
    <row r="38" spans="1:17" ht="15" customHeight="1">
      <c r="A38" s="259">
        <v>4</v>
      </c>
      <c r="B38" s="258">
        <v>1</v>
      </c>
      <c r="C38" s="257">
        <f t="shared" si="10"/>
        <v>-0.73910084601712733</v>
      </c>
      <c r="D38" s="254">
        <v>56.061605057173921</v>
      </c>
      <c r="E38" s="244">
        <f t="array" ref="E38">SQRT(MMULT(MMULT(B38:C38,MINVERSE(MMULT(TRANSPOSE(D$3:E$30),D$3:E$30))),TRANSPOSE(B38:C38)))*s*t_crit</f>
        <v>3.9288459888939036</v>
      </c>
      <c r="F38" s="244">
        <f t="array" ref="F38">SQRT(1+MMULT(MMULT(B38:C38,MINVERSE(MMULT(TRANSPOSE(D$3:E$30),D$3:E$30))),TRANSPOSE(B38:C38)))*s*t_crit</f>
        <v>13.904378753352006</v>
      </c>
      <c r="G38" s="256">
        <f t="shared" si="6"/>
        <v>52.132759068280016</v>
      </c>
      <c r="H38" s="254">
        <f t="shared" si="7"/>
        <v>59.990451046067825</v>
      </c>
      <c r="I38" s="255">
        <f t="shared" si="8"/>
        <v>42.157226303821915</v>
      </c>
      <c r="J38" s="254">
        <f t="shared" si="9"/>
        <v>69.965983810525927</v>
      </c>
      <c r="K38" s="261">
        <v>-8.5975577409687265</v>
      </c>
      <c r="L38" s="260">
        <f>MAX(F3:F30)</f>
        <v>68.51439008743381</v>
      </c>
    </row>
    <row r="39" spans="1:17" ht="15" customHeight="1">
      <c r="A39" s="259">
        <v>5</v>
      </c>
      <c r="B39" s="258">
        <v>1</v>
      </c>
      <c r="C39" s="257">
        <f t="shared" si="10"/>
        <v>-0.59179808923566801</v>
      </c>
      <c r="D39" s="254">
        <v>54.795161100341453</v>
      </c>
      <c r="E39" s="244">
        <f t="array" ref="E39">SQRT(MMULT(MMULT(B39:C39,MINVERSE(MMULT(TRANSPOSE(D$3:E$30),D$3:E$30))),TRANSPOSE(B39:C39)))*s*t_crit</f>
        <v>3.4894616361127153</v>
      </c>
      <c r="F39" s="244">
        <f t="array" ref="F39">SQRT(1+MMULT(MMULT(B39:C39,MINVERSE(MMULT(TRANSPOSE(D$3:E$30),D$3:E$30))),TRANSPOSE(B39:C39)))*s*t_crit</f>
        <v>13.786669656669135</v>
      </c>
      <c r="G39" s="256">
        <f t="shared" si="6"/>
        <v>51.305699464228738</v>
      </c>
      <c r="H39" s="254">
        <f t="shared" si="7"/>
        <v>58.284622736454168</v>
      </c>
      <c r="I39" s="255">
        <f t="shared" si="8"/>
        <v>41.00849144367232</v>
      </c>
      <c r="J39" s="254">
        <f t="shared" si="9"/>
        <v>68.581830757010593</v>
      </c>
      <c r="K39" s="246"/>
      <c r="L39" s="245"/>
    </row>
    <row r="40" spans="1:17" ht="15" customHeight="1">
      <c r="A40" s="259">
        <v>6</v>
      </c>
      <c r="B40" s="258">
        <v>1</v>
      </c>
      <c r="C40" s="257">
        <f t="shared" si="10"/>
        <v>-0.44449533245420864</v>
      </c>
      <c r="D40" s="254">
        <v>53.528717143508985</v>
      </c>
      <c r="E40" s="244">
        <f t="array" ref="E40">SQRT(MMULT(MMULT(B40:C40,MINVERSE(MMULT(TRANSPOSE(D$3:E$30),D$3:E$30))),TRANSPOSE(B40:C40)))*s*t_crit</f>
        <v>3.10457226895887</v>
      </c>
      <c r="F40" s="244">
        <f t="array" ref="F40">SQRT(1+MMULT(MMULT(B40:C40,MINVERSE(MMULT(TRANSPOSE(D$3:E$30),D$3:E$30))),TRANSPOSE(B40:C40)))*s*t_crit</f>
        <v>13.694315853134373</v>
      </c>
      <c r="G40" s="256">
        <f t="shared" si="6"/>
        <v>50.424144874550116</v>
      </c>
      <c r="H40" s="254">
        <f t="shared" si="7"/>
        <v>56.633289412467853</v>
      </c>
      <c r="I40" s="255">
        <f t="shared" si="8"/>
        <v>39.834401290374615</v>
      </c>
      <c r="J40" s="254">
        <f t="shared" si="9"/>
        <v>67.223032996643354</v>
      </c>
      <c r="K40" s="246"/>
      <c r="L40" s="245"/>
    </row>
    <row r="41" spans="1:17" ht="15" customHeight="1">
      <c r="A41" s="259">
        <v>7</v>
      </c>
      <c r="B41" s="258">
        <v>1</v>
      </c>
      <c r="C41" s="257">
        <f t="shared" si="10"/>
        <v>-0.29719257567274926</v>
      </c>
      <c r="D41" s="254">
        <v>52.262273186676516</v>
      </c>
      <c r="E41" s="244">
        <f t="array" ref="E41">SQRT(MMULT(MMULT(B41:C41,MINVERSE(MMULT(TRANSPOSE(D$3:E$30),D$3:E$30))),TRANSPOSE(B41:C41)))*s*t_crit</f>
        <v>2.7967678120118782</v>
      </c>
      <c r="F41" s="244">
        <f t="array" ref="F41">SQRT(1+MMULT(MMULT(B41:C41,MINVERSE(MMULT(TRANSPOSE(D$3:E$30),D$3:E$30))),TRANSPOSE(B41:C41)))*s*t_crit</f>
        <v>13.627832839689688</v>
      </c>
      <c r="G41" s="256">
        <f t="shared" si="6"/>
        <v>49.465505374664637</v>
      </c>
      <c r="H41" s="254">
        <f t="shared" si="7"/>
        <v>55.059040998688396</v>
      </c>
      <c r="I41" s="255">
        <f t="shared" si="8"/>
        <v>38.634440346986828</v>
      </c>
      <c r="J41" s="254">
        <f t="shared" si="9"/>
        <v>65.890106026366198</v>
      </c>
      <c r="K41" s="246"/>
      <c r="L41" s="245"/>
    </row>
    <row r="42" spans="1:17" ht="15" customHeight="1">
      <c r="A42" s="259">
        <v>8</v>
      </c>
      <c r="B42" s="258">
        <v>1</v>
      </c>
      <c r="C42" s="257">
        <f t="shared" si="10"/>
        <v>-0.14988981889128988</v>
      </c>
      <c r="D42" s="254">
        <v>50.995829229844041</v>
      </c>
      <c r="E42" s="244">
        <f t="array" ref="E42">SQRT(MMULT(MMULT(B42:C42,MINVERSE(MMULT(TRANSPOSE(D$3:E$30),D$3:E$30))),TRANSPOSE(B42:C42)))*s*t_crit</f>
        <v>2.5936395611677194</v>
      </c>
      <c r="F42" s="244">
        <f t="array" ref="F42">SQRT(1+MMULT(MMULT(B42:C42,MINVERSE(MMULT(TRANSPOSE(D$3:E$30),D$3:E$30))),TRANSPOSE(B42:C42)))*s*t_crit</f>
        <v>13.587600372599766</v>
      </c>
      <c r="G42" s="256">
        <f t="shared" si="6"/>
        <v>48.402189668676321</v>
      </c>
      <c r="H42" s="254">
        <f t="shared" si="7"/>
        <v>53.589468791011761</v>
      </c>
      <c r="I42" s="255">
        <f t="shared" si="8"/>
        <v>37.408228857244275</v>
      </c>
      <c r="J42" s="254">
        <f t="shared" si="9"/>
        <v>64.5834296024438</v>
      </c>
      <c r="K42" s="246"/>
      <c r="L42" s="245"/>
    </row>
    <row r="43" spans="1:17" ht="15" customHeight="1">
      <c r="A43" s="259">
        <v>9</v>
      </c>
      <c r="B43" s="258">
        <v>1</v>
      </c>
      <c r="C43" s="257">
        <f t="shared" si="10"/>
        <v>-2.5870621098305069E-3</v>
      </c>
      <c r="D43" s="254">
        <v>49.729385273011573</v>
      </c>
      <c r="E43" s="244">
        <f t="array" ref="E43">SQRT(MMULT(MMULT(B43:C43,MINVERSE(MMULT(TRANSPOSE(D$3:E$30),D$3:E$30))),TRANSPOSE(B43:C43)))*s*t_crit</f>
        <v>2.5206223259413805</v>
      </c>
      <c r="F43" s="244">
        <f t="array" ref="F43">SQRT(1+MMULT(MMULT(B43:C43,MINVERSE(MMULT(TRANSPOSE(D$3:E$30),D$3:E$30))),TRANSPOSE(B43:C43)))*s*t_crit</f>
        <v>13.573851871235856</v>
      </c>
      <c r="G43" s="256">
        <f t="shared" si="6"/>
        <v>47.208762947070191</v>
      </c>
      <c r="H43" s="254">
        <f t="shared" si="7"/>
        <v>52.250007598952955</v>
      </c>
      <c r="I43" s="255">
        <f t="shared" si="8"/>
        <v>36.155533401775713</v>
      </c>
      <c r="J43" s="254">
        <f t="shared" si="9"/>
        <v>63.303237144247433</v>
      </c>
      <c r="K43" s="246"/>
      <c r="L43" s="245"/>
    </row>
    <row r="44" spans="1:17" ht="15" customHeight="1">
      <c r="A44" s="259">
        <v>10</v>
      </c>
      <c r="B44" s="258">
        <v>1</v>
      </c>
      <c r="C44" s="257">
        <f t="shared" si="10"/>
        <v>0.14471569467162887</v>
      </c>
      <c r="D44" s="254">
        <v>48.462941316179105</v>
      </c>
      <c r="E44" s="244">
        <f t="array" ref="E44">SQRT(MMULT(MMULT(B44:C44,MINVERSE(MMULT(TRANSPOSE(D$3:E$30),D$3:E$30))),TRANSPOSE(B44:C44)))*s*t_crit</f>
        <v>2.5887491969376399</v>
      </c>
      <c r="F44" s="244">
        <f t="array" ref="F44">SQRT(1+MMULT(MMULT(B44:C44,MINVERSE(MMULT(TRANSPOSE(D$3:E$30),D$3:E$30))),TRANSPOSE(B44:C44)))*s*t_crit</f>
        <v>13.586667734101113</v>
      </c>
      <c r="G44" s="256">
        <f t="shared" si="6"/>
        <v>45.874192119241464</v>
      </c>
      <c r="H44" s="254">
        <f t="shared" si="7"/>
        <v>51.051690513116746</v>
      </c>
      <c r="I44" s="255">
        <f t="shared" si="8"/>
        <v>34.876273582077992</v>
      </c>
      <c r="J44" s="254">
        <f t="shared" si="9"/>
        <v>62.049609050280218</v>
      </c>
      <c r="K44" s="246"/>
      <c r="L44" s="245"/>
    </row>
    <row r="45" spans="1:17" ht="15" customHeight="1">
      <c r="A45" s="259">
        <v>11</v>
      </c>
      <c r="B45" s="258">
        <v>1</v>
      </c>
      <c r="C45" s="257">
        <f t="shared" si="10"/>
        <v>0.29201845145308825</v>
      </c>
      <c r="D45" s="254">
        <v>47.196497359346637</v>
      </c>
      <c r="E45" s="244">
        <f t="array" ref="E45">SQRT(MMULT(MMULT(B45:C45,MINVERSE(MMULT(TRANSPOSE(D$3:E$30),D$3:E$30))),TRANSPOSE(B45:C45)))*s*t_crit</f>
        <v>2.7876912772198619</v>
      </c>
      <c r="F45" s="244">
        <f t="array" ref="F45">SQRT(1+MMULT(MMULT(B45:C45,MINVERSE(MMULT(TRANSPOSE(D$3:E$30),D$3:E$30))),TRANSPOSE(B45:C45)))*s*t_crit</f>
        <v>13.625973006332673</v>
      </c>
      <c r="G45" s="256">
        <f t="shared" si="6"/>
        <v>44.408806082126773</v>
      </c>
      <c r="H45" s="254">
        <f t="shared" si="7"/>
        <v>49.9841886365665</v>
      </c>
      <c r="I45" s="255">
        <f t="shared" si="8"/>
        <v>33.570524353013965</v>
      </c>
      <c r="J45" s="254">
        <f t="shared" si="9"/>
        <v>60.822470365679308</v>
      </c>
      <c r="K45" s="246"/>
      <c r="L45" s="245"/>
    </row>
    <row r="46" spans="1:17" ht="15" customHeight="1">
      <c r="A46" s="259">
        <v>12</v>
      </c>
      <c r="B46" s="258">
        <v>1</v>
      </c>
      <c r="C46" s="257">
        <f t="shared" si="10"/>
        <v>0.43932120823454762</v>
      </c>
      <c r="D46" s="254">
        <v>45.930053402514169</v>
      </c>
      <c r="E46" s="244">
        <f t="array" ref="E46">SQRT(MMULT(MMULT(B46:C46,MINVERSE(MMULT(TRANSPOSE(D$3:E$30),D$3:E$30))),TRANSPOSE(B46:C46)))*s*t_crit</f>
        <v>3.0923029714698749</v>
      </c>
      <c r="F46" s="244">
        <f t="array" ref="F46">SQRT(1+MMULT(MMULT(B46:C46,MINVERSE(MMULT(TRANSPOSE(D$3:E$30),D$3:E$30))),TRANSPOSE(B46:C46)))*s*t_crit</f>
        <v>13.691539554760832</v>
      </c>
      <c r="G46" s="256">
        <f t="shared" si="6"/>
        <v>42.837750431044292</v>
      </c>
      <c r="H46" s="254">
        <f t="shared" si="7"/>
        <v>49.022356373984046</v>
      </c>
      <c r="I46" s="255">
        <f t="shared" si="8"/>
        <v>32.238513847753339</v>
      </c>
      <c r="J46" s="254">
        <f t="shared" si="9"/>
        <v>59.621592957274999</v>
      </c>
      <c r="K46" s="246"/>
      <c r="L46" s="245"/>
      <c r="M46" s="609" t="s">
        <v>95</v>
      </c>
      <c r="N46" s="609"/>
      <c r="O46" s="244"/>
      <c r="P46" s="243"/>
      <c r="Q46" s="242"/>
    </row>
    <row r="47" spans="1:17" ht="15" customHeight="1">
      <c r="A47" s="259">
        <v>13</v>
      </c>
      <c r="B47" s="258">
        <v>1</v>
      </c>
      <c r="C47" s="257">
        <f t="shared" si="10"/>
        <v>0.586623965016007</v>
      </c>
      <c r="D47" s="254">
        <v>44.663609445681693</v>
      </c>
      <c r="E47" s="244">
        <f t="array" ref="E47">SQRT(MMULT(MMULT(B47:C47,MINVERSE(MMULT(TRANSPOSE(D$3:E$30),D$3:E$30))),TRANSPOSE(B47:C47)))*s*t_crit</f>
        <v>3.4749053851099916</v>
      </c>
      <c r="F47" s="244">
        <f t="array" ref="F47">SQRT(1+MMULT(MMULT(B47:C47,MINVERSE(MMULT(TRANSPOSE(D$3:E$30),D$3:E$30))),TRANSPOSE(B47:C47)))*s*t_crit</f>
        <v>13.782992604934728</v>
      </c>
      <c r="G47" s="256">
        <f t="shared" si="6"/>
        <v>41.188704060571702</v>
      </c>
      <c r="H47" s="254">
        <f t="shared" si="7"/>
        <v>48.138514830791685</v>
      </c>
      <c r="I47" s="255">
        <f t="shared" si="8"/>
        <v>30.880616840746967</v>
      </c>
      <c r="J47" s="254">
        <f t="shared" si="9"/>
        <v>58.44660205061642</v>
      </c>
      <c r="K47" s="246"/>
      <c r="L47" s="245"/>
      <c r="M47" s="144" t="str">
        <f>CONCATENATE(IF(N16=1, "FS",IF(N17=1,"O2",IF(N18=1,"FGR",IF(N19=1,"OFA",IF(N20=1,"O2 x O2"))))),", ",TEXT(IF(N16=1, M49,IF(N17=1,M50,IF(N18=1,M51,IF(N19=1,M52,IF(N20=1,M53))))),"0.0000"))</f>
        <v>O2 x O2, p &lt; 0.0001</v>
      </c>
      <c r="O47" s="244"/>
      <c r="P47" s="243"/>
      <c r="Q47" s="242"/>
    </row>
    <row r="48" spans="1:17" ht="15" customHeight="1">
      <c r="A48" s="259">
        <v>14</v>
      </c>
      <c r="B48" s="258">
        <v>1</v>
      </c>
      <c r="C48" s="257">
        <f t="shared" si="10"/>
        <v>0.73392672179746632</v>
      </c>
      <c r="D48" s="254">
        <v>43.397165488849225</v>
      </c>
      <c r="E48" s="244">
        <f t="array" ref="E48">SQRT(MMULT(MMULT(B48:C48,MINVERSE(MMULT(TRANSPOSE(D$3:E$30),D$3:E$30))),TRANSPOSE(B48:C48)))*s*t_crit</f>
        <v>3.9126860289835048</v>
      </c>
      <c r="F48" s="244">
        <f t="array" ref="F48">SQRT(1+MMULT(MMULT(B48:C48,MINVERSE(MMULT(TRANSPOSE(D$3:E$30),D$3:E$30))),TRANSPOSE(B48:C48)))*s*t_crit</f>
        <v>13.899821210131506</v>
      </c>
      <c r="G48" s="256">
        <f t="shared" si="6"/>
        <v>39.484479459865717</v>
      </c>
      <c r="H48" s="254">
        <f t="shared" si="7"/>
        <v>47.309851517832733</v>
      </c>
      <c r="I48" s="255">
        <f t="shared" si="8"/>
        <v>29.497344278717719</v>
      </c>
      <c r="J48" s="254">
        <f t="shared" si="9"/>
        <v>57.296986698980731</v>
      </c>
      <c r="K48" s="246"/>
      <c r="L48" s="245"/>
      <c r="M48" s="343" t="str">
        <f t="shared" ref="M48:M53" si="11">IF(T15&lt;0.0001,"p &lt; 0.0001",CONCATENATE("p = ",TEXT(TDIST(ABS(S15),DFR,2),"0.0000")))</f>
        <v>p &lt; 0.0001</v>
      </c>
      <c r="N48" s="144"/>
      <c r="O48" s="244"/>
      <c r="P48" s="243"/>
      <c r="Q48" s="242"/>
    </row>
    <row r="49" spans="1:20" ht="15" customHeight="1">
      <c r="A49" s="259">
        <v>15</v>
      </c>
      <c r="B49" s="258">
        <v>1</v>
      </c>
      <c r="C49" s="257">
        <f t="shared" si="10"/>
        <v>0.88122947857892564</v>
      </c>
      <c r="D49" s="254">
        <v>42.130721532016757</v>
      </c>
      <c r="E49" s="244">
        <f t="array" ref="E49">SQRT(MMULT(MMULT(B49:C49,MINVERSE(MMULT(TRANSPOSE(D$3:E$30),D$3:E$30))),TRANSPOSE(B49:C49)))*s*t_crit</f>
        <v>4.3891652105121635</v>
      </c>
      <c r="F49" s="244">
        <f t="array" ref="F49">SQRT(1+MMULT(MMULT(B49:C49,MINVERSE(MMULT(TRANSPOSE(D$3:E$30),D$3:E$30))),TRANSPOSE(B49:C49)))*s*t_crit</f>
        <v>14.041391987883156</v>
      </c>
      <c r="G49" s="256">
        <f t="shared" si="6"/>
        <v>37.741556321504596</v>
      </c>
      <c r="H49" s="254">
        <f t="shared" si="7"/>
        <v>46.519886742528918</v>
      </c>
      <c r="I49" s="255">
        <f t="shared" si="8"/>
        <v>28.089329544133602</v>
      </c>
      <c r="J49" s="254">
        <f t="shared" si="9"/>
        <v>56.172113519899909</v>
      </c>
      <c r="K49" s="246"/>
      <c r="L49" s="245"/>
      <c r="M49" s="343" t="str">
        <f t="shared" si="11"/>
        <v>p = 0.3727</v>
      </c>
      <c r="N49" s="144"/>
      <c r="O49" s="244"/>
      <c r="P49" s="243"/>
      <c r="Q49" s="242"/>
      <c r="T49" s="241">
        <v>5</v>
      </c>
    </row>
    <row r="50" spans="1:20" ht="15" customHeight="1">
      <c r="A50" s="259">
        <v>16</v>
      </c>
      <c r="B50" s="258">
        <v>1</v>
      </c>
      <c r="C50" s="257">
        <f t="shared" si="10"/>
        <v>1.028532235360385</v>
      </c>
      <c r="D50" s="254">
        <v>40.864277575184289</v>
      </c>
      <c r="E50" s="244">
        <f t="array" ref="E50">SQRT(MMULT(MMULT(B50:C50,MINVERSE(MMULT(TRANSPOSE(D$3:E$30),D$3:E$30))),TRANSPOSE(B50:C50)))*s*t_crit</f>
        <v>4.8930507136927508</v>
      </c>
      <c r="F50" s="244">
        <f t="array" ref="F50">SQRT(1+MMULT(MMULT(B50:C50,MINVERSE(MMULT(TRANSPOSE(D$3:E$30),D$3:E$30))),TRANSPOSE(B50:C50)))*s*t_crit</f>
        <v>14.206965298718378</v>
      </c>
      <c r="G50" s="256">
        <f t="shared" si="6"/>
        <v>35.971226861491537</v>
      </c>
      <c r="H50" s="254">
        <f t="shared" si="7"/>
        <v>45.757328288877041</v>
      </c>
      <c r="I50" s="255">
        <f t="shared" si="8"/>
        <v>26.657312276465909</v>
      </c>
      <c r="J50" s="254">
        <f t="shared" si="9"/>
        <v>55.071242873902669</v>
      </c>
      <c r="K50" s="246"/>
      <c r="L50" s="245"/>
      <c r="M50" s="343" t="str">
        <f t="shared" si="11"/>
        <v>p = 0.3341</v>
      </c>
      <c r="N50" s="144"/>
      <c r="O50" s="244"/>
      <c r="P50" s="243"/>
      <c r="Q50" s="242"/>
    </row>
    <row r="51" spans="1:20" ht="15" customHeight="1">
      <c r="A51" s="259">
        <v>17</v>
      </c>
      <c r="B51" s="258">
        <v>1</v>
      </c>
      <c r="C51" s="257">
        <f t="shared" si="10"/>
        <v>1.1758349921418443</v>
      </c>
      <c r="D51" s="254">
        <v>39.597833618351821</v>
      </c>
      <c r="E51" s="244">
        <f t="array" ref="E51">SQRT(MMULT(MMULT(B51:C51,MINVERSE(MMULT(TRANSPOSE(D$3:E$30),D$3:E$30))),TRANSPOSE(B51:C51)))*s*t_crit</f>
        <v>5.4166995565749527</v>
      </c>
      <c r="F51" s="244">
        <f t="array" ref="F51">SQRT(1+MMULT(MMULT(B51:C51,MINVERSE(MMULT(TRANSPOSE(D$3:E$30),D$3:E$30))),TRANSPOSE(B51:C51)))*s*t_crit</f>
        <v>14.395712965963797</v>
      </c>
      <c r="G51" s="256">
        <f t="shared" si="6"/>
        <v>34.181134061776866</v>
      </c>
      <c r="H51" s="254">
        <f t="shared" si="7"/>
        <v>45.014533174926775</v>
      </c>
      <c r="I51" s="255">
        <f t="shared" si="8"/>
        <v>25.202120652388025</v>
      </c>
      <c r="J51" s="254">
        <f t="shared" si="9"/>
        <v>53.993546584315617</v>
      </c>
      <c r="K51" s="246"/>
      <c r="L51" s="245"/>
      <c r="M51" s="343" t="str">
        <f t="shared" si="11"/>
        <v>p &lt; 0.0001</v>
      </c>
      <c r="N51" s="144"/>
      <c r="O51" s="244"/>
      <c r="P51" s="243"/>
      <c r="Q51" s="242"/>
    </row>
    <row r="52" spans="1:20" ht="15" customHeight="1">
      <c r="A52" s="259">
        <v>18</v>
      </c>
      <c r="B52" s="258">
        <v>1</v>
      </c>
      <c r="C52" s="257">
        <f t="shared" si="10"/>
        <v>1.3231377489233036</v>
      </c>
      <c r="D52" s="254">
        <v>38.331389661519353</v>
      </c>
      <c r="E52" s="244">
        <f t="array" ref="E52">SQRT(MMULT(MMULT(B52:C52,MINVERSE(MMULT(TRANSPOSE(D$3:E$30),D$3:E$30))),TRANSPOSE(B52:C52)))*s*t_crit</f>
        <v>5.9549003050815807</v>
      </c>
      <c r="F52" s="244">
        <f t="array" ref="F52">SQRT(1+MMULT(MMULT(B52:C52,MINVERSE(MMULT(TRANSPOSE(D$3:E$30),D$3:E$30))),TRANSPOSE(B52:C52)))*s*t_crit</f>
        <v>14.60673664292198</v>
      </c>
      <c r="G52" s="256">
        <f t="shared" si="6"/>
        <v>32.376489356437773</v>
      </c>
      <c r="H52" s="254">
        <f t="shared" si="7"/>
        <v>44.286289966600933</v>
      </c>
      <c r="I52" s="255">
        <f t="shared" si="8"/>
        <v>23.724653018597373</v>
      </c>
      <c r="J52" s="254">
        <f t="shared" si="9"/>
        <v>52.938126304441333</v>
      </c>
      <c r="K52" s="246"/>
      <c r="L52" s="245"/>
      <c r="M52" s="343" t="str">
        <f t="shared" si="11"/>
        <v>p = 0.3111</v>
      </c>
      <c r="N52" s="144"/>
      <c r="O52" s="244"/>
      <c r="P52" s="243"/>
      <c r="Q52" s="242"/>
    </row>
    <row r="53" spans="1:20" ht="15" customHeight="1">
      <c r="A53" s="259">
        <v>19</v>
      </c>
      <c r="B53" s="258">
        <v>1</v>
      </c>
      <c r="C53" s="257">
        <f t="shared" si="10"/>
        <v>1.4704405057047629</v>
      </c>
      <c r="D53" s="254">
        <v>37.064945704686878</v>
      </c>
      <c r="E53" s="244">
        <f t="array" ref="E53">SQRT(MMULT(MMULT(B53:C53,MINVERSE(MMULT(TRANSPOSE(D$3:E$30),D$3:E$30))),TRANSPOSE(B53:C53)))*s*t_crit</f>
        <v>6.5040415095964317</v>
      </c>
      <c r="F53" s="244">
        <f t="array" ref="F53">SQRT(1+MMULT(MMULT(B53:C53,MINVERSE(MMULT(TRANSPOSE(D$3:E$30),D$3:E$30))),TRANSPOSE(B53:C53)))*s*t_crit</f>
        <v>14.839086011974336</v>
      </c>
      <c r="G53" s="256">
        <f t="shared" si="6"/>
        <v>30.560904195090444</v>
      </c>
      <c r="H53" s="254">
        <f t="shared" si="7"/>
        <v>43.568987214283311</v>
      </c>
      <c r="I53" s="255">
        <f t="shared" si="8"/>
        <v>22.22585969271254</v>
      </c>
      <c r="J53" s="254">
        <f t="shared" si="9"/>
        <v>51.904031716661216</v>
      </c>
      <c r="K53" s="246"/>
      <c r="L53" s="245"/>
      <c r="M53" s="343" t="str">
        <f t="shared" si="11"/>
        <v>p &lt; 0.0001</v>
      </c>
      <c r="N53" s="144"/>
      <c r="O53" s="244"/>
      <c r="P53" s="243"/>
      <c r="Q53" s="242"/>
    </row>
    <row r="54" spans="1:20" ht="15" customHeight="1">
      <c r="A54" s="259">
        <v>20</v>
      </c>
      <c r="B54" s="258">
        <v>1</v>
      </c>
      <c r="C54" s="257">
        <f t="shared" si="10"/>
        <v>1.6177432624862222</v>
      </c>
      <c r="D54" s="254">
        <v>35.798501747854409</v>
      </c>
      <c r="E54" s="244">
        <f t="array" ref="E54">SQRT(MMULT(MMULT(B54:C54,MINVERSE(MMULT(TRANSPOSE(D$3:E$30),D$3:E$30))),TRANSPOSE(B54:C54)))*s*t_crit</f>
        <v>7.0615712862986406</v>
      </c>
      <c r="F54" s="244">
        <f t="array" ref="F54">SQRT(1+MMULT(MMULT(B54:C54,MINVERSE(MMULT(TRANSPOSE(D$3:E$30),D$3:E$30))),TRANSPOSE(B54:C54)))*s*t_crit</f>
        <v>15.091776129524863</v>
      </c>
      <c r="G54" s="256">
        <f t="shared" si="6"/>
        <v>28.736930461555769</v>
      </c>
      <c r="H54" s="254">
        <f t="shared" si="7"/>
        <v>42.860073034153046</v>
      </c>
      <c r="I54" s="255">
        <f t="shared" si="8"/>
        <v>20.706725618329546</v>
      </c>
      <c r="J54" s="254">
        <f t="shared" si="9"/>
        <v>50.890277877379276</v>
      </c>
      <c r="K54" s="246"/>
      <c r="L54" s="245"/>
      <c r="M54" s="241" t="str">
        <f>CONCATENATE("Leverage Plot, ",M47)</f>
        <v>Leverage Plot, O2 x O2, p &lt; 0.0001</v>
      </c>
      <c r="O54" s="244"/>
      <c r="P54" s="243"/>
      <c r="Q54" s="242"/>
    </row>
    <row r="55" spans="1:20" ht="15" customHeight="1">
      <c r="A55" s="253">
        <v>21</v>
      </c>
      <c r="B55" s="252">
        <v>1</v>
      </c>
      <c r="C55" s="251">
        <f>MAX(E3:E30)</f>
        <v>1.765046019267682</v>
      </c>
      <c r="D55" s="247">
        <v>34.532057791021941</v>
      </c>
      <c r="E55" s="250">
        <f t="array" ref="E55">SQRT(MMULT(MMULT(B55:C55,MINVERSE(MMULT(TRANSPOSE(D$3:E$30),D$3:E$30))),TRANSPOSE(B55:C55)))*s*t_crit</f>
        <v>7.6256499304802032</v>
      </c>
      <c r="F55" s="250">
        <f t="array" ref="F55">SQRT(1+MMULT(MMULT(B55:C55,MINVERSE(MMULT(TRANSPOSE(D$3:E$30),D$3:E$30))),TRANSPOSE(B55:C55)))*s*t_crit</f>
        <v>15.363803388954564</v>
      </c>
      <c r="G55" s="249">
        <f t="shared" si="6"/>
        <v>26.906407860541737</v>
      </c>
      <c r="H55" s="247">
        <f t="shared" si="7"/>
        <v>42.157707721502142</v>
      </c>
      <c r="I55" s="248">
        <f t="shared" si="8"/>
        <v>19.168254402067376</v>
      </c>
      <c r="J55" s="247">
        <f t="shared" si="9"/>
        <v>49.895861179976507</v>
      </c>
      <c r="K55" s="246"/>
      <c r="L55" s="245"/>
      <c r="M55" s="241" t="str">
        <f>CONCATENATE(M46," Leverage")</f>
        <v>22. O2 x O2 Leverage</v>
      </c>
      <c r="O55" s="244"/>
      <c r="P55" s="243"/>
      <c r="Q55" s="242"/>
    </row>
    <row r="56" spans="1:20" ht="15" customHeight="1">
      <c r="K56" s="246"/>
      <c r="L56" s="245"/>
      <c r="M56"/>
      <c r="N56"/>
      <c r="O56" s="244"/>
      <c r="P56" s="243"/>
      <c r="Q56" s="242"/>
    </row>
    <row r="57" spans="1:20" ht="15" customHeight="1">
      <c r="K57" s="246"/>
      <c r="L57" s="245"/>
    </row>
    <row r="58" spans="1:20" ht="15" customHeight="1">
      <c r="K58" s="246"/>
      <c r="L58" s="245"/>
    </row>
    <row r="59" spans="1:20" ht="15" customHeight="1">
      <c r="K59" s="246"/>
      <c r="L59" s="245"/>
    </row>
    <row r="60" spans="1:20" ht="15" customHeight="1">
      <c r="K60" s="246"/>
      <c r="L60" s="245"/>
    </row>
    <row r="61" spans="1:20" ht="15" customHeight="1">
      <c r="K61" s="246"/>
      <c r="L61" s="245"/>
    </row>
    <row r="62" spans="1:20" ht="15" customHeight="1">
      <c r="K62" s="246"/>
      <c r="L62" s="245"/>
    </row>
    <row r="63" spans="1:20" ht="15" customHeight="1">
      <c r="K63" s="246"/>
      <c r="L63" s="245"/>
    </row>
    <row r="64" spans="1:20" ht="15" customHeight="1">
      <c r="K64" s="246"/>
      <c r="L64" s="245"/>
    </row>
  </sheetData>
  <mergeCells count="8">
    <mergeCell ref="S1:S2"/>
    <mergeCell ref="M13:R13"/>
    <mergeCell ref="M46:N46"/>
    <mergeCell ref="A33:J33"/>
    <mergeCell ref="D1:F1"/>
    <mergeCell ref="A1:C1"/>
    <mergeCell ref="G1:L1"/>
    <mergeCell ref="M1:R1"/>
  </mergeCells>
  <dataValidations count="1">
    <dataValidation type="list" allowBlank="1" showInputMessage="1" showErrorMessage="1" sqref="M46" xr:uid="{5811338F-EF9C-0445-8491-612C0574DD19}">
      <formula1>$M$16:$M$20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922D-404E-47DD-8797-891EB0263B92}">
  <dimension ref="A1:AT76"/>
  <sheetViews>
    <sheetView zoomScaleNormal="100" workbookViewId="0">
      <selection activeCell="A2" sqref="A1:A1048576"/>
    </sheetView>
  </sheetViews>
  <sheetFormatPr defaultColWidth="5.625" defaultRowHeight="15"/>
  <cols>
    <col min="1" max="1" width="3.375" style="143" customWidth="1"/>
    <col min="2" max="5" width="5.625" style="143"/>
    <col min="6" max="6" width="5.875" style="143" customWidth="1"/>
    <col min="7" max="7" width="5.625" style="145"/>
    <col min="8" max="14" width="5.625" style="143"/>
    <col min="15" max="15" width="5.625" style="143" customWidth="1"/>
    <col min="16" max="16" width="5.875" style="143" bestFit="1" customWidth="1"/>
    <col min="17" max="17" width="6" style="144" customWidth="1"/>
    <col min="18" max="20" width="5.875" style="144" bestFit="1" customWidth="1"/>
    <col min="21" max="21" width="5.875" style="144" customWidth="1"/>
    <col min="22" max="22" width="5.625" style="143"/>
    <col min="23" max="24" width="5.875" style="143" customWidth="1"/>
    <col min="25" max="25" width="5.875" style="143" bestFit="1" customWidth="1"/>
    <col min="26" max="42" width="5.625" style="144"/>
    <col min="43" max="16384" width="5.625" style="143"/>
  </cols>
  <sheetData>
    <row r="1" spans="1:42" ht="17.25">
      <c r="A1" s="623" t="s">
        <v>84</v>
      </c>
      <c r="B1" s="605"/>
      <c r="C1" s="605"/>
      <c r="D1" s="605"/>
      <c r="E1" s="624"/>
      <c r="F1" s="625"/>
      <c r="G1" s="240" t="s">
        <v>83</v>
      </c>
      <c r="H1" s="208" t="s">
        <v>82</v>
      </c>
      <c r="I1" s="611" t="s">
        <v>14</v>
      </c>
      <c r="J1" s="611"/>
      <c r="K1" s="611"/>
      <c r="L1" s="611"/>
      <c r="M1" s="611"/>
      <c r="N1" s="614"/>
      <c r="O1" s="617" t="s">
        <v>81</v>
      </c>
      <c r="P1" s="611"/>
      <c r="Q1" s="611"/>
      <c r="R1" s="611"/>
      <c r="S1" s="611"/>
      <c r="T1" s="614"/>
      <c r="U1" s="621" t="s">
        <v>80</v>
      </c>
      <c r="V1" s="621" t="s">
        <v>47</v>
      </c>
      <c r="W1" s="144"/>
      <c r="X1" s="144"/>
      <c r="Y1" s="144"/>
    </row>
    <row r="2" spans="1:42" s="237" customFormat="1">
      <c r="A2" s="202" t="s">
        <v>79</v>
      </c>
      <c r="B2" s="202" t="s">
        <v>78</v>
      </c>
      <c r="C2" s="213" t="s">
        <v>76</v>
      </c>
      <c r="D2" s="213" t="s">
        <v>68</v>
      </c>
      <c r="E2" s="201" t="s">
        <v>66</v>
      </c>
      <c r="F2" s="202" t="s">
        <v>77</v>
      </c>
      <c r="G2" s="239" t="s">
        <v>77</v>
      </c>
      <c r="H2" s="171" t="s">
        <v>4</v>
      </c>
      <c r="I2" s="209">
        <v>0</v>
      </c>
      <c r="J2" s="191" t="s">
        <v>0</v>
      </c>
      <c r="K2" s="208" t="s">
        <v>1</v>
      </c>
      <c r="L2" s="191" t="s">
        <v>68</v>
      </c>
      <c r="M2" s="209" t="s">
        <v>66</v>
      </c>
      <c r="N2" s="208" t="s">
        <v>75</v>
      </c>
      <c r="O2" s="209">
        <v>0</v>
      </c>
      <c r="P2" s="191" t="s">
        <v>0</v>
      </c>
      <c r="Q2" s="238" t="s">
        <v>1</v>
      </c>
      <c r="R2" s="191" t="s">
        <v>68</v>
      </c>
      <c r="S2" s="208" t="s">
        <v>66</v>
      </c>
      <c r="T2" s="238" t="s">
        <v>72</v>
      </c>
      <c r="U2" s="622"/>
      <c r="V2" s="622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</row>
    <row r="3" spans="1:42">
      <c r="A3" s="191">
        <v>1</v>
      </c>
      <c r="B3" s="189">
        <v>1</v>
      </c>
      <c r="C3" s="177" t="s">
        <v>0</v>
      </c>
      <c r="D3" s="177">
        <v>-1</v>
      </c>
      <c r="E3" s="179">
        <v>-1</v>
      </c>
      <c r="F3" s="181">
        <v>3.8</v>
      </c>
      <c r="G3" s="181">
        <f t="array" ref="G3:G26">MMULT(I3:N26,U10:U15)</f>
        <v>3.2583333333333324</v>
      </c>
      <c r="H3" s="190">
        <f>AVERAGE(F3:F6)</f>
        <v>4.3249999999999993</v>
      </c>
      <c r="I3" s="189">
        <v>1</v>
      </c>
      <c r="J3" s="189">
        <v>1</v>
      </c>
      <c r="K3" s="179">
        <v>0</v>
      </c>
      <c r="L3" s="189">
        <f t="shared" ref="L3:L26" si="0">D3</f>
        <v>-1</v>
      </c>
      <c r="M3" s="177">
        <f t="shared" ref="M3:M26" si="1">E3</f>
        <v>-1</v>
      </c>
      <c r="N3" s="179">
        <f t="shared" ref="N3:N26" si="2">M3*L3</f>
        <v>1</v>
      </c>
      <c r="O3" s="198">
        <f t="array" ref="O3:T8">MMULT(TRANSPOSE(I3:N26),I3:N26)</f>
        <v>24</v>
      </c>
      <c r="P3" s="197">
        <v>8</v>
      </c>
      <c r="Q3" s="232">
        <v>8</v>
      </c>
      <c r="R3" s="197">
        <v>0</v>
      </c>
      <c r="S3" s="232">
        <v>0</v>
      </c>
      <c r="T3" s="199">
        <v>0</v>
      </c>
      <c r="U3" s="236">
        <f t="array" ref="U3:U8">MMULT(TRANSPOSE(I3:N26),F3:F26)</f>
        <v>132.4</v>
      </c>
      <c r="V3" s="215">
        <v>0</v>
      </c>
      <c r="W3" s="144"/>
      <c r="X3" s="144"/>
      <c r="Y3" s="144"/>
    </row>
    <row r="4" spans="1:42">
      <c r="A4" s="174">
        <v>2</v>
      </c>
      <c r="B4" s="172">
        <v>1</v>
      </c>
      <c r="C4" s="143" t="s">
        <v>0</v>
      </c>
      <c r="D4" s="143">
        <v>-1</v>
      </c>
      <c r="E4" s="163">
        <v>1</v>
      </c>
      <c r="F4" s="165">
        <v>3.4</v>
      </c>
      <c r="G4" s="165">
        <v>2.6083333333333321</v>
      </c>
      <c r="H4" s="173">
        <f>H3</f>
        <v>4.3249999999999993</v>
      </c>
      <c r="I4" s="172">
        <v>1</v>
      </c>
      <c r="J4" s="172">
        <v>1</v>
      </c>
      <c r="K4" s="163">
        <v>0</v>
      </c>
      <c r="L4" s="172">
        <f t="shared" si="0"/>
        <v>-1</v>
      </c>
      <c r="M4" s="143">
        <f t="shared" si="1"/>
        <v>1</v>
      </c>
      <c r="N4" s="163">
        <f t="shared" si="2"/>
        <v>-1</v>
      </c>
      <c r="O4" s="143">
        <v>8</v>
      </c>
      <c r="P4" s="172">
        <v>8</v>
      </c>
      <c r="Q4" s="163">
        <v>0</v>
      </c>
      <c r="R4" s="172">
        <v>0</v>
      </c>
      <c r="S4" s="163">
        <v>0</v>
      </c>
      <c r="T4" s="164">
        <v>0</v>
      </c>
      <c r="U4" s="233">
        <v>31.399999999999995</v>
      </c>
      <c r="V4" s="182" t="s">
        <v>0</v>
      </c>
      <c r="W4" s="144"/>
      <c r="X4" s="144"/>
      <c r="Y4" s="144"/>
    </row>
    <row r="5" spans="1:42">
      <c r="A5" s="174">
        <v>3</v>
      </c>
      <c r="B5" s="172">
        <v>1</v>
      </c>
      <c r="C5" s="143" t="s">
        <v>0</v>
      </c>
      <c r="D5" s="143">
        <v>1</v>
      </c>
      <c r="E5" s="163">
        <v>-1</v>
      </c>
      <c r="F5" s="165">
        <v>4.5999999999999996</v>
      </c>
      <c r="G5" s="165">
        <v>5.0249999999999995</v>
      </c>
      <c r="H5" s="173">
        <f>H4</f>
        <v>4.3249999999999993</v>
      </c>
      <c r="I5" s="172">
        <v>1</v>
      </c>
      <c r="J5" s="172">
        <v>1</v>
      </c>
      <c r="K5" s="163">
        <v>0</v>
      </c>
      <c r="L5" s="172">
        <f t="shared" si="0"/>
        <v>1</v>
      </c>
      <c r="M5" s="143">
        <f t="shared" si="1"/>
        <v>-1</v>
      </c>
      <c r="N5" s="163">
        <f t="shared" si="2"/>
        <v>-1</v>
      </c>
      <c r="O5" s="143">
        <v>8</v>
      </c>
      <c r="P5" s="172">
        <v>0</v>
      </c>
      <c r="Q5" s="163">
        <v>8</v>
      </c>
      <c r="R5" s="172">
        <v>0</v>
      </c>
      <c r="S5" s="163">
        <v>0</v>
      </c>
      <c r="T5" s="164">
        <v>0</v>
      </c>
      <c r="U5" s="233">
        <v>24.1</v>
      </c>
      <c r="V5" s="153" t="s">
        <v>1</v>
      </c>
      <c r="W5" s="144"/>
      <c r="Y5" s="144"/>
    </row>
    <row r="6" spans="1:42">
      <c r="A6" s="162">
        <v>4</v>
      </c>
      <c r="B6" s="160">
        <v>1</v>
      </c>
      <c r="C6" s="150" t="s">
        <v>0</v>
      </c>
      <c r="D6" s="150">
        <v>1</v>
      </c>
      <c r="E6" s="149">
        <v>1</v>
      </c>
      <c r="F6" s="152">
        <v>5.5</v>
      </c>
      <c r="G6" s="152">
        <v>4.8083333333333327</v>
      </c>
      <c r="H6" s="161">
        <f>H5</f>
        <v>4.3249999999999993</v>
      </c>
      <c r="I6" s="160">
        <v>1</v>
      </c>
      <c r="J6" s="160">
        <v>1</v>
      </c>
      <c r="K6" s="149">
        <v>0</v>
      </c>
      <c r="L6" s="160">
        <f t="shared" si="0"/>
        <v>1</v>
      </c>
      <c r="M6" s="150">
        <f t="shared" si="1"/>
        <v>1</v>
      </c>
      <c r="N6" s="149">
        <f t="shared" si="2"/>
        <v>1</v>
      </c>
      <c r="O6" s="177">
        <v>0</v>
      </c>
      <c r="P6" s="189">
        <v>0</v>
      </c>
      <c r="Q6" s="179">
        <v>0</v>
      </c>
      <c r="R6" s="189">
        <v>24</v>
      </c>
      <c r="S6" s="179">
        <v>0</v>
      </c>
      <c r="T6" s="180">
        <v>0</v>
      </c>
      <c r="U6" s="235">
        <v>23.800000000000004</v>
      </c>
      <c r="V6" s="182" t="s">
        <v>68</v>
      </c>
      <c r="W6" s="144"/>
      <c r="Y6" s="144"/>
    </row>
    <row r="7" spans="1:42">
      <c r="A7" s="191">
        <v>5</v>
      </c>
      <c r="B7" s="189">
        <v>2</v>
      </c>
      <c r="C7" s="177" t="s">
        <v>1</v>
      </c>
      <c r="D7" s="177">
        <v>-1</v>
      </c>
      <c r="E7" s="179">
        <v>-1</v>
      </c>
      <c r="F7" s="181">
        <v>1</v>
      </c>
      <c r="G7" s="181">
        <v>2.3458333333333328</v>
      </c>
      <c r="H7" s="190">
        <f>AVERAGE(F7:F10)</f>
        <v>2.0750000000000002</v>
      </c>
      <c r="I7" s="189">
        <v>1</v>
      </c>
      <c r="J7" s="189">
        <v>0</v>
      </c>
      <c r="K7" s="179">
        <v>1</v>
      </c>
      <c r="L7" s="189">
        <f t="shared" si="0"/>
        <v>-1</v>
      </c>
      <c r="M7" s="177">
        <f t="shared" si="1"/>
        <v>-1</v>
      </c>
      <c r="N7" s="179">
        <f t="shared" si="2"/>
        <v>1</v>
      </c>
      <c r="O7" s="150">
        <v>0</v>
      </c>
      <c r="P7" s="160">
        <v>0</v>
      </c>
      <c r="Q7" s="149">
        <v>0</v>
      </c>
      <c r="R7" s="160">
        <v>0</v>
      </c>
      <c r="S7" s="149">
        <v>24</v>
      </c>
      <c r="T7" s="151">
        <v>0</v>
      </c>
      <c r="U7" s="234">
        <v>-5.1999999999999993</v>
      </c>
      <c r="V7" s="153" t="s">
        <v>66</v>
      </c>
      <c r="W7" s="144"/>
      <c r="Y7" s="144"/>
    </row>
    <row r="8" spans="1:42">
      <c r="A8" s="174">
        <v>6</v>
      </c>
      <c r="B8" s="172">
        <v>2</v>
      </c>
      <c r="C8" s="143" t="s">
        <v>1</v>
      </c>
      <c r="D8" s="143">
        <v>-1</v>
      </c>
      <c r="E8" s="163">
        <v>1</v>
      </c>
      <c r="F8" s="165">
        <v>1.6</v>
      </c>
      <c r="G8" s="165">
        <v>1.6958333333333326</v>
      </c>
      <c r="H8" s="173">
        <f>H7</f>
        <v>2.0750000000000002</v>
      </c>
      <c r="I8" s="172">
        <v>1</v>
      </c>
      <c r="J8" s="172">
        <v>0</v>
      </c>
      <c r="K8" s="163">
        <v>1</v>
      </c>
      <c r="L8" s="172">
        <f t="shared" si="0"/>
        <v>-1</v>
      </c>
      <c r="M8" s="143">
        <f t="shared" si="1"/>
        <v>1</v>
      </c>
      <c r="N8" s="163">
        <f t="shared" si="2"/>
        <v>-1</v>
      </c>
      <c r="O8" s="143">
        <v>0</v>
      </c>
      <c r="P8" s="172">
        <v>0</v>
      </c>
      <c r="Q8" s="163">
        <v>0</v>
      </c>
      <c r="R8" s="172">
        <v>0</v>
      </c>
      <c r="S8" s="163">
        <v>0</v>
      </c>
      <c r="T8" s="164">
        <v>24</v>
      </c>
      <c r="U8" s="233">
        <v>2.6000000000000032</v>
      </c>
      <c r="V8" s="215" t="s">
        <v>72</v>
      </c>
      <c r="W8" s="144"/>
      <c r="Y8" s="144"/>
    </row>
    <row r="9" spans="1:42" ht="17.25">
      <c r="A9" s="174">
        <v>7</v>
      </c>
      <c r="B9" s="172">
        <v>2</v>
      </c>
      <c r="C9" s="143" t="s">
        <v>1</v>
      </c>
      <c r="D9" s="143">
        <v>1</v>
      </c>
      <c r="E9" s="163">
        <v>-1</v>
      </c>
      <c r="F9" s="165">
        <v>1.6</v>
      </c>
      <c r="G9" s="165">
        <v>4.1124999999999998</v>
      </c>
      <c r="H9" s="173">
        <f>H8</f>
        <v>2.0750000000000002</v>
      </c>
      <c r="I9" s="172">
        <v>1</v>
      </c>
      <c r="J9" s="172">
        <v>0</v>
      </c>
      <c r="K9" s="163">
        <v>1</v>
      </c>
      <c r="L9" s="172">
        <f t="shared" si="0"/>
        <v>1</v>
      </c>
      <c r="M9" s="143">
        <f t="shared" si="1"/>
        <v>-1</v>
      </c>
      <c r="N9" s="163">
        <f t="shared" si="2"/>
        <v>-1</v>
      </c>
      <c r="O9" s="611" t="s">
        <v>74</v>
      </c>
      <c r="P9" s="611"/>
      <c r="Q9" s="611"/>
      <c r="R9" s="611"/>
      <c r="S9" s="611"/>
      <c r="T9" s="614"/>
      <c r="U9" s="214" t="s">
        <v>39</v>
      </c>
      <c r="V9" s="214" t="s">
        <v>47</v>
      </c>
      <c r="W9" s="618" t="s">
        <v>73</v>
      </c>
      <c r="X9" s="619"/>
      <c r="Y9" s="620"/>
    </row>
    <row r="10" spans="1:42">
      <c r="A10" s="162">
        <v>8</v>
      </c>
      <c r="B10" s="160">
        <v>2</v>
      </c>
      <c r="C10" s="150" t="s">
        <v>1</v>
      </c>
      <c r="D10" s="150">
        <v>1</v>
      </c>
      <c r="E10" s="149">
        <v>1</v>
      </c>
      <c r="F10" s="152">
        <v>4.0999999999999996</v>
      </c>
      <c r="G10" s="152">
        <v>3.895833333333333</v>
      </c>
      <c r="H10" s="161">
        <f>H9</f>
        <v>2.0750000000000002</v>
      </c>
      <c r="I10" s="160">
        <v>1</v>
      </c>
      <c r="J10" s="160">
        <v>0</v>
      </c>
      <c r="K10" s="149">
        <v>1</v>
      </c>
      <c r="L10" s="160">
        <f t="shared" si="0"/>
        <v>1</v>
      </c>
      <c r="M10" s="150">
        <f t="shared" si="1"/>
        <v>1</v>
      </c>
      <c r="N10" s="149">
        <f t="shared" si="2"/>
        <v>1</v>
      </c>
      <c r="O10" s="232">
        <f t="array" ref="O10:T15">MINVERSE(O3:T8)</f>
        <v>0.12499999999999996</v>
      </c>
      <c r="P10" s="198">
        <v>-0.12499999999999996</v>
      </c>
      <c r="Q10" s="231">
        <v>-0.12499999999999996</v>
      </c>
      <c r="R10" s="230">
        <v>0</v>
      </c>
      <c r="S10" s="229">
        <v>0</v>
      </c>
      <c r="T10" s="229">
        <v>0</v>
      </c>
      <c r="U10" s="228">
        <f t="array" ref="U10:U15">MMULT(O10:T15,U3:U8)</f>
        <v>9.6124999999999972</v>
      </c>
      <c r="V10" s="215">
        <v>0</v>
      </c>
      <c r="W10" s="227">
        <v>0</v>
      </c>
      <c r="X10" s="199"/>
      <c r="Y10" s="226">
        <f>AVERAGE(X11:X13)</f>
        <v>5.5166666666666657</v>
      </c>
    </row>
    <row r="11" spans="1:42">
      <c r="A11" s="191">
        <v>9</v>
      </c>
      <c r="B11" s="189">
        <v>3</v>
      </c>
      <c r="C11" s="177" t="s">
        <v>2</v>
      </c>
      <c r="D11" s="177">
        <v>-1</v>
      </c>
      <c r="E11" s="179">
        <v>-1</v>
      </c>
      <c r="F11" s="181">
        <v>9.8000000000000007</v>
      </c>
      <c r="G11" s="181">
        <v>8.9458333333333311</v>
      </c>
      <c r="H11" s="190">
        <f>AVERAGE(F11:F14)</f>
        <v>10.225</v>
      </c>
      <c r="I11" s="189">
        <v>1</v>
      </c>
      <c r="J11" s="189">
        <v>0</v>
      </c>
      <c r="K11" s="179">
        <v>0</v>
      </c>
      <c r="L11" s="189">
        <f t="shared" si="0"/>
        <v>-1</v>
      </c>
      <c r="M11" s="177">
        <f t="shared" si="1"/>
        <v>-1</v>
      </c>
      <c r="N11" s="179">
        <f t="shared" si="2"/>
        <v>1</v>
      </c>
      <c r="O11" s="163">
        <v>-0.12499999999999996</v>
      </c>
      <c r="P11" s="143">
        <v>0.24999999999999992</v>
      </c>
      <c r="Q11" s="144">
        <v>0.12499999999999996</v>
      </c>
      <c r="R11" s="224">
        <v>0</v>
      </c>
      <c r="S11" s="166">
        <v>0</v>
      </c>
      <c r="T11" s="166">
        <v>0</v>
      </c>
      <c r="U11" s="223">
        <v>-5.6874999999999982</v>
      </c>
      <c r="V11" s="182" t="s">
        <v>0</v>
      </c>
      <c r="W11" s="225" t="s">
        <v>0</v>
      </c>
      <c r="X11" s="167">
        <f>U10+U11</f>
        <v>3.9249999999999989</v>
      </c>
      <c r="Y11" s="190">
        <f>X11-Y$10</f>
        <v>-1.5916666666666668</v>
      </c>
    </row>
    <row r="12" spans="1:42">
      <c r="A12" s="174">
        <v>10</v>
      </c>
      <c r="B12" s="172">
        <v>3</v>
      </c>
      <c r="C12" s="143" t="s">
        <v>2</v>
      </c>
      <c r="D12" s="143">
        <v>-1</v>
      </c>
      <c r="E12" s="163">
        <v>1</v>
      </c>
      <c r="F12" s="165">
        <v>7.7</v>
      </c>
      <c r="G12" s="165">
        <v>8.295833333333329</v>
      </c>
      <c r="H12" s="173">
        <f>H11</f>
        <v>10.225</v>
      </c>
      <c r="I12" s="172">
        <v>1</v>
      </c>
      <c r="J12" s="172">
        <v>0</v>
      </c>
      <c r="K12" s="163">
        <v>0</v>
      </c>
      <c r="L12" s="172">
        <f t="shared" si="0"/>
        <v>-1</v>
      </c>
      <c r="M12" s="143">
        <f t="shared" si="1"/>
        <v>1</v>
      </c>
      <c r="N12" s="163">
        <f t="shared" si="2"/>
        <v>-1</v>
      </c>
      <c r="O12" s="163">
        <v>-0.12499999999999996</v>
      </c>
      <c r="P12" s="143">
        <v>0.12499999999999994</v>
      </c>
      <c r="Q12" s="144">
        <v>0.24999999999999994</v>
      </c>
      <c r="R12" s="224">
        <v>0</v>
      </c>
      <c r="S12" s="166">
        <v>0</v>
      </c>
      <c r="T12" s="166">
        <v>0</v>
      </c>
      <c r="U12" s="223">
        <v>-6.5999999999999979</v>
      </c>
      <c r="V12" s="153" t="s">
        <v>1</v>
      </c>
      <c r="W12" s="169" t="s">
        <v>1</v>
      </c>
      <c r="X12" s="203">
        <f>U10+U12</f>
        <v>3.0124999999999993</v>
      </c>
      <c r="Y12" s="173">
        <f>X12-Y$10</f>
        <v>-2.5041666666666664</v>
      </c>
    </row>
    <row r="13" spans="1:42">
      <c r="A13" s="174">
        <v>11</v>
      </c>
      <c r="B13" s="172">
        <v>3</v>
      </c>
      <c r="C13" s="143" t="s">
        <v>2</v>
      </c>
      <c r="D13" s="143">
        <v>1</v>
      </c>
      <c r="E13" s="163">
        <v>-1</v>
      </c>
      <c r="F13" s="165">
        <v>13.5</v>
      </c>
      <c r="G13" s="165">
        <v>10.712499999999997</v>
      </c>
      <c r="H13" s="173">
        <f>H12</f>
        <v>10.225</v>
      </c>
      <c r="I13" s="172">
        <v>1</v>
      </c>
      <c r="J13" s="172">
        <v>0</v>
      </c>
      <c r="K13" s="163">
        <v>0</v>
      </c>
      <c r="L13" s="172">
        <f t="shared" si="0"/>
        <v>1</v>
      </c>
      <c r="M13" s="143">
        <f t="shared" si="1"/>
        <v>-1</v>
      </c>
      <c r="N13" s="163">
        <f t="shared" si="2"/>
        <v>-1</v>
      </c>
      <c r="O13" s="179">
        <v>0</v>
      </c>
      <c r="P13" s="177">
        <v>0</v>
      </c>
      <c r="Q13" s="222">
        <v>0</v>
      </c>
      <c r="R13" s="221">
        <v>4.1666666666666664E-2</v>
      </c>
      <c r="S13" s="220">
        <v>0</v>
      </c>
      <c r="T13" s="220">
        <v>0</v>
      </c>
      <c r="U13" s="219">
        <v>0.99166666666666681</v>
      </c>
      <c r="V13" s="182" t="s">
        <v>68</v>
      </c>
      <c r="W13" s="218" t="s">
        <v>2</v>
      </c>
      <c r="X13" s="156">
        <f>U10</f>
        <v>9.6124999999999972</v>
      </c>
      <c r="Y13" s="161">
        <f>X13-Y$10</f>
        <v>4.0958333333333314</v>
      </c>
    </row>
    <row r="14" spans="1:42">
      <c r="A14" s="162">
        <v>12</v>
      </c>
      <c r="B14" s="160">
        <v>3</v>
      </c>
      <c r="C14" s="150" t="s">
        <v>2</v>
      </c>
      <c r="D14" s="150">
        <v>1</v>
      </c>
      <c r="E14" s="149">
        <v>1</v>
      </c>
      <c r="F14" s="152">
        <v>9.9</v>
      </c>
      <c r="G14" s="152">
        <v>10.495833333333332</v>
      </c>
      <c r="H14" s="161">
        <f>H13</f>
        <v>10.225</v>
      </c>
      <c r="I14" s="160">
        <v>1</v>
      </c>
      <c r="J14" s="160">
        <v>0</v>
      </c>
      <c r="K14" s="149">
        <v>0</v>
      </c>
      <c r="L14" s="160">
        <f t="shared" si="0"/>
        <v>1</v>
      </c>
      <c r="M14" s="150">
        <f t="shared" si="1"/>
        <v>1</v>
      </c>
      <c r="N14" s="149">
        <f t="shared" si="2"/>
        <v>1</v>
      </c>
      <c r="O14" s="149">
        <v>0</v>
      </c>
      <c r="P14" s="150">
        <v>0</v>
      </c>
      <c r="Q14" s="155">
        <v>0</v>
      </c>
      <c r="R14" s="217">
        <v>0</v>
      </c>
      <c r="S14" s="154">
        <v>4.1666666666666664E-2</v>
      </c>
      <c r="T14" s="154">
        <v>0</v>
      </c>
      <c r="U14" s="216">
        <v>-0.21666666666666662</v>
      </c>
      <c r="V14" s="153" t="s">
        <v>66</v>
      </c>
    </row>
    <row r="15" spans="1:42">
      <c r="A15" s="191">
        <v>13</v>
      </c>
      <c r="B15" s="189">
        <v>4</v>
      </c>
      <c r="C15" s="177" t="s">
        <v>0</v>
      </c>
      <c r="D15" s="177">
        <v>-1</v>
      </c>
      <c r="E15" s="179">
        <v>-1</v>
      </c>
      <c r="F15" s="181">
        <v>2.8</v>
      </c>
      <c r="G15" s="181">
        <v>3.2583333333333324</v>
      </c>
      <c r="H15" s="190">
        <f>AVERAGE(F15:F18)</f>
        <v>3.5249999999999995</v>
      </c>
      <c r="I15" s="189">
        <v>1</v>
      </c>
      <c r="J15" s="189">
        <v>1</v>
      </c>
      <c r="K15" s="179">
        <v>0</v>
      </c>
      <c r="L15" s="189">
        <f t="shared" si="0"/>
        <v>-1</v>
      </c>
      <c r="M15" s="177">
        <f t="shared" si="1"/>
        <v>-1</v>
      </c>
      <c r="N15" s="179">
        <f t="shared" si="2"/>
        <v>1</v>
      </c>
      <c r="O15" s="149">
        <v>0</v>
      </c>
      <c r="P15" s="150">
        <v>0</v>
      </c>
      <c r="Q15" s="155">
        <v>0</v>
      </c>
      <c r="R15" s="217">
        <v>0</v>
      </c>
      <c r="S15" s="154">
        <v>0</v>
      </c>
      <c r="T15" s="154">
        <v>4.1666666666666664E-2</v>
      </c>
      <c r="U15" s="216">
        <v>0.10833333333333346</v>
      </c>
      <c r="V15" s="215" t="s">
        <v>72</v>
      </c>
    </row>
    <row r="16" spans="1:42">
      <c r="A16" s="174">
        <v>14</v>
      </c>
      <c r="B16" s="172">
        <v>4</v>
      </c>
      <c r="C16" s="143" t="s">
        <v>0</v>
      </c>
      <c r="D16" s="143">
        <v>-1</v>
      </c>
      <c r="E16" s="163">
        <v>1</v>
      </c>
      <c r="F16" s="165">
        <v>2.5</v>
      </c>
      <c r="G16" s="165">
        <v>2.6083333333333321</v>
      </c>
      <c r="H16" s="173">
        <f>H15</f>
        <v>3.5249999999999995</v>
      </c>
      <c r="I16" s="172">
        <v>1</v>
      </c>
      <c r="J16" s="172">
        <v>1</v>
      </c>
      <c r="K16" s="163">
        <v>0</v>
      </c>
      <c r="L16" s="172">
        <f t="shared" si="0"/>
        <v>-1</v>
      </c>
      <c r="M16" s="143">
        <f t="shared" si="1"/>
        <v>1</v>
      </c>
      <c r="N16" s="163">
        <f t="shared" si="2"/>
        <v>-1</v>
      </c>
      <c r="O16" s="617" t="s">
        <v>71</v>
      </c>
      <c r="P16" s="613"/>
      <c r="Q16" s="214" t="s">
        <v>30</v>
      </c>
      <c r="R16" s="214" t="s">
        <v>31</v>
      </c>
      <c r="S16" s="213" t="s">
        <v>32</v>
      </c>
      <c r="T16" s="212" t="s">
        <v>3</v>
      </c>
      <c r="U16" s="211" t="s">
        <v>33</v>
      </c>
      <c r="V16" s="210" t="s">
        <v>70</v>
      </c>
      <c r="W16" s="618" t="s">
        <v>69</v>
      </c>
      <c r="X16" s="619"/>
      <c r="Y16" s="620"/>
    </row>
    <row r="17" spans="1:46" ht="18">
      <c r="A17" s="174">
        <v>15</v>
      </c>
      <c r="B17" s="172">
        <v>4</v>
      </c>
      <c r="C17" s="143" t="s">
        <v>0</v>
      </c>
      <c r="D17" s="143">
        <v>1</v>
      </c>
      <c r="E17" s="163">
        <v>-1</v>
      </c>
      <c r="F17" s="165">
        <v>4.0999999999999996</v>
      </c>
      <c r="G17" s="165">
        <v>5.0249999999999995</v>
      </c>
      <c r="H17" s="173">
        <f>H16</f>
        <v>3.5249999999999995</v>
      </c>
      <c r="I17" s="172">
        <v>1</v>
      </c>
      <c r="J17" s="172">
        <v>1</v>
      </c>
      <c r="K17" s="163">
        <v>0</v>
      </c>
      <c r="L17" s="172">
        <f t="shared" si="0"/>
        <v>1</v>
      </c>
      <c r="M17" s="143">
        <f t="shared" si="1"/>
        <v>-1</v>
      </c>
      <c r="N17" s="163">
        <f t="shared" si="2"/>
        <v>-1</v>
      </c>
      <c r="O17" s="618" t="s">
        <v>68</v>
      </c>
      <c r="P17" s="620"/>
      <c r="Q17" s="207">
        <f>U6*U13</f>
        <v>23.601666666666674</v>
      </c>
      <c r="R17" s="180">
        <v>1</v>
      </c>
      <c r="S17" s="177">
        <f t="shared" ref="S17:S25" si="3">Q17/R17</f>
        <v>23.601666666666674</v>
      </c>
      <c r="T17" s="189">
        <f>S17/S$21</f>
        <v>13.374574990555278</v>
      </c>
      <c r="U17" s="206">
        <f>FDIST(T17,R17,R$21)</f>
        <v>2.3354828611289727E-3</v>
      </c>
      <c r="V17" s="167" t="str">
        <f t="shared" ref="V17:V23" si="4">IF(U17&lt;=0.05,"*","")</f>
        <v>*</v>
      </c>
      <c r="W17" s="626" t="s">
        <v>67</v>
      </c>
      <c r="X17" s="627"/>
      <c r="Y17" s="628"/>
    </row>
    <row r="18" spans="1:46" ht="18">
      <c r="A18" s="162">
        <v>16</v>
      </c>
      <c r="B18" s="160">
        <v>4</v>
      </c>
      <c r="C18" s="150" t="s">
        <v>0</v>
      </c>
      <c r="D18" s="150">
        <v>1</v>
      </c>
      <c r="E18" s="149">
        <v>1</v>
      </c>
      <c r="F18" s="152">
        <v>4.7</v>
      </c>
      <c r="G18" s="152">
        <v>4.8083333333333327</v>
      </c>
      <c r="H18" s="161">
        <f>H17</f>
        <v>3.5249999999999995</v>
      </c>
      <c r="I18" s="160">
        <v>1</v>
      </c>
      <c r="J18" s="160">
        <v>1</v>
      </c>
      <c r="K18" s="149">
        <v>0</v>
      </c>
      <c r="L18" s="160">
        <f t="shared" si="0"/>
        <v>1</v>
      </c>
      <c r="M18" s="150">
        <f t="shared" si="1"/>
        <v>1</v>
      </c>
      <c r="N18" s="149">
        <f t="shared" si="2"/>
        <v>1</v>
      </c>
      <c r="O18" s="637" t="s">
        <v>66</v>
      </c>
      <c r="P18" s="636"/>
      <c r="Q18" s="205">
        <f>U7*U14</f>
        <v>1.1266666666666663</v>
      </c>
      <c r="R18" s="164">
        <v>1</v>
      </c>
      <c r="S18" s="143">
        <f t="shared" si="3"/>
        <v>1.1266666666666663</v>
      </c>
      <c r="T18" s="172">
        <f>S18/S$21</f>
        <v>0.63845863241404999</v>
      </c>
      <c r="U18" s="204">
        <f>FDIST(T18,R18,R$21)</f>
        <v>0.43673964367640772</v>
      </c>
      <c r="V18" s="203" t="str">
        <f t="shared" si="4"/>
        <v/>
      </c>
      <c r="W18" s="629" t="s">
        <v>65</v>
      </c>
      <c r="X18" s="630"/>
      <c r="Y18" s="631"/>
    </row>
    <row r="19" spans="1:46" ht="18">
      <c r="A19" s="191">
        <v>17</v>
      </c>
      <c r="B19" s="189">
        <v>5</v>
      </c>
      <c r="C19" s="177" t="s">
        <v>1</v>
      </c>
      <c r="D19" s="177">
        <v>-1</v>
      </c>
      <c r="E19" s="179">
        <v>-1</v>
      </c>
      <c r="F19" s="181">
        <v>2.9</v>
      </c>
      <c r="G19" s="181">
        <v>2.3458333333333328</v>
      </c>
      <c r="H19" s="190">
        <f>AVERAGE(F19:F22)</f>
        <v>3.95</v>
      </c>
      <c r="I19" s="189">
        <v>1</v>
      </c>
      <c r="J19" s="189">
        <v>0</v>
      </c>
      <c r="K19" s="179">
        <v>1</v>
      </c>
      <c r="L19" s="189">
        <f t="shared" si="0"/>
        <v>-1</v>
      </c>
      <c r="M19" s="177">
        <f t="shared" si="1"/>
        <v>-1</v>
      </c>
      <c r="N19" s="179">
        <f t="shared" si="2"/>
        <v>1</v>
      </c>
      <c r="O19" s="637" t="s">
        <v>64</v>
      </c>
      <c r="P19" s="636"/>
      <c r="Q19" s="205">
        <f>U8*U15</f>
        <v>0.28166666666666734</v>
      </c>
      <c r="R19" s="164">
        <v>1</v>
      </c>
      <c r="S19" s="143">
        <f t="shared" si="3"/>
        <v>0.28166666666666734</v>
      </c>
      <c r="T19" s="172">
        <f>S19/S$21</f>
        <v>0.15961465810351294</v>
      </c>
      <c r="U19" s="204">
        <f>FDIST(T19,R19,R$21)</f>
        <v>0.69514239652348908</v>
      </c>
      <c r="V19" s="203" t="str">
        <f t="shared" si="4"/>
        <v/>
      </c>
      <c r="W19" s="632" t="s">
        <v>63</v>
      </c>
      <c r="X19" s="633"/>
      <c r="Y19" s="634"/>
    </row>
    <row r="20" spans="1:46" ht="18">
      <c r="A20" s="174">
        <v>18</v>
      </c>
      <c r="B20" s="172">
        <v>5</v>
      </c>
      <c r="C20" s="143" t="s">
        <v>1</v>
      </c>
      <c r="D20" s="143">
        <v>-1</v>
      </c>
      <c r="E20" s="163">
        <v>1</v>
      </c>
      <c r="F20" s="165">
        <v>3.4</v>
      </c>
      <c r="G20" s="165">
        <v>1.6958333333333326</v>
      </c>
      <c r="H20" s="173">
        <f>H19</f>
        <v>3.95</v>
      </c>
      <c r="I20" s="172">
        <v>1</v>
      </c>
      <c r="J20" s="172">
        <v>0</v>
      </c>
      <c r="K20" s="163">
        <v>1</v>
      </c>
      <c r="L20" s="172">
        <f t="shared" si="0"/>
        <v>-1</v>
      </c>
      <c r="M20" s="143">
        <f t="shared" si="1"/>
        <v>1</v>
      </c>
      <c r="N20" s="163">
        <f t="shared" si="2"/>
        <v>-1</v>
      </c>
      <c r="O20" s="617" t="s">
        <v>62</v>
      </c>
      <c r="P20" s="614"/>
      <c r="Q20" s="200">
        <f>SUM(Q17:Q19)</f>
        <v>25.010000000000005</v>
      </c>
      <c r="R20" s="199">
        <f>SUM(R17:R19)</f>
        <v>3</v>
      </c>
      <c r="S20" s="198">
        <f t="shared" si="3"/>
        <v>8.3366666666666678</v>
      </c>
      <c r="T20" s="197">
        <f>S20/S$21</f>
        <v>4.7242160936909459</v>
      </c>
      <c r="U20" s="196">
        <f>FDIST(T20,R20,R$21)</f>
        <v>1.6306873892950862E-2</v>
      </c>
      <c r="V20" s="195" t="str">
        <f t="shared" si="4"/>
        <v>*</v>
      </c>
      <c r="W20" s="638" t="s">
        <v>61</v>
      </c>
      <c r="X20" s="639"/>
      <c r="Y20" s="640"/>
    </row>
    <row r="21" spans="1:46" ht="18.75" thickBot="1">
      <c r="A21" s="174">
        <v>19</v>
      </c>
      <c r="B21" s="172">
        <v>5</v>
      </c>
      <c r="C21" s="143" t="s">
        <v>1</v>
      </c>
      <c r="D21" s="143">
        <v>1</v>
      </c>
      <c r="E21" s="163">
        <v>-1</v>
      </c>
      <c r="F21" s="165">
        <v>3.6</v>
      </c>
      <c r="G21" s="165">
        <v>4.1124999999999998</v>
      </c>
      <c r="H21" s="173">
        <f>H20</f>
        <v>3.95</v>
      </c>
      <c r="I21" s="172">
        <v>1</v>
      </c>
      <c r="J21" s="172">
        <v>0</v>
      </c>
      <c r="K21" s="163">
        <v>1</v>
      </c>
      <c r="L21" s="172">
        <f t="shared" si="0"/>
        <v>1</v>
      </c>
      <c r="M21" s="143">
        <f t="shared" si="1"/>
        <v>-1</v>
      </c>
      <c r="N21" s="163">
        <f t="shared" si="2"/>
        <v>-1</v>
      </c>
      <c r="O21" s="645" t="s">
        <v>60</v>
      </c>
      <c r="P21" s="646"/>
      <c r="Q21" s="188">
        <f>Q25-Q23</f>
        <v>26.470000000000141</v>
      </c>
      <c r="R21" s="187">
        <v>15</v>
      </c>
      <c r="S21" s="186">
        <f t="shared" si="3"/>
        <v>1.7646666666666762</v>
      </c>
      <c r="T21" s="194" t="s">
        <v>59</v>
      </c>
      <c r="U21" s="184">
        <f>SQRT(S21)</f>
        <v>1.3284075679800518</v>
      </c>
      <c r="V21" s="183" t="str">
        <f t="shared" si="4"/>
        <v/>
      </c>
      <c r="W21" s="189"/>
      <c r="X21" s="177"/>
      <c r="Y21" s="179"/>
    </row>
    <row r="22" spans="1:46" ht="18.75" thickTop="1">
      <c r="A22" s="162">
        <v>20</v>
      </c>
      <c r="B22" s="160">
        <v>5</v>
      </c>
      <c r="C22" s="150" t="s">
        <v>1</v>
      </c>
      <c r="D22" s="150">
        <v>1</v>
      </c>
      <c r="E22" s="149">
        <v>1</v>
      </c>
      <c r="F22" s="152">
        <v>5.9</v>
      </c>
      <c r="G22" s="152">
        <v>3.895833333333333</v>
      </c>
      <c r="H22" s="161">
        <f>H21</f>
        <v>3.95</v>
      </c>
      <c r="I22" s="160">
        <v>1</v>
      </c>
      <c r="J22" s="160">
        <v>0</v>
      </c>
      <c r="K22" s="149">
        <v>1</v>
      </c>
      <c r="L22" s="160">
        <f t="shared" si="0"/>
        <v>1</v>
      </c>
      <c r="M22" s="150">
        <f t="shared" si="1"/>
        <v>1</v>
      </c>
      <c r="N22" s="149">
        <f t="shared" si="2"/>
        <v>1</v>
      </c>
      <c r="O22" s="635" t="s">
        <v>58</v>
      </c>
      <c r="P22" s="636"/>
      <c r="Q22" s="193">
        <f>Q24-Q20</f>
        <v>204.64083333333292</v>
      </c>
      <c r="R22" s="151">
        <v>2</v>
      </c>
      <c r="S22" s="150">
        <f t="shared" si="3"/>
        <v>102.32041666666646</v>
      </c>
      <c r="T22" s="160">
        <f>S22/S23</f>
        <v>27.13469613259581</v>
      </c>
      <c r="U22" s="157">
        <f>FDIST(T22,R22,R21)</f>
        <v>1.0390204911523124E-5</v>
      </c>
      <c r="V22" s="156" t="str">
        <f t="shared" si="4"/>
        <v>*</v>
      </c>
      <c r="W22" s="192" t="s">
        <v>57</v>
      </c>
      <c r="X22" s="150"/>
      <c r="Y22" s="149"/>
    </row>
    <row r="23" spans="1:46" ht="18.75" thickBot="1">
      <c r="A23" s="191">
        <v>21</v>
      </c>
      <c r="B23" s="189">
        <v>6</v>
      </c>
      <c r="C23" s="177" t="s">
        <v>2</v>
      </c>
      <c r="D23" s="177">
        <v>-1</v>
      </c>
      <c r="E23" s="179">
        <v>-1</v>
      </c>
      <c r="F23" s="181">
        <v>8.8000000000000007</v>
      </c>
      <c r="G23" s="181">
        <v>8.9458333333333311</v>
      </c>
      <c r="H23" s="190">
        <f>AVERAGE(F23:F26)</f>
        <v>9</v>
      </c>
      <c r="I23" s="189">
        <v>1</v>
      </c>
      <c r="J23" s="189">
        <v>0</v>
      </c>
      <c r="K23" s="179">
        <v>0</v>
      </c>
      <c r="L23" s="189">
        <f t="shared" si="0"/>
        <v>-1</v>
      </c>
      <c r="M23" s="177">
        <f t="shared" si="1"/>
        <v>-1</v>
      </c>
      <c r="N23" s="179">
        <f t="shared" si="2"/>
        <v>1</v>
      </c>
      <c r="O23" s="643" t="s">
        <v>56</v>
      </c>
      <c r="P23" s="644"/>
      <c r="Q23" s="188">
        <f>DEVSQ(H3:H26)-Q22</f>
        <v>11.312500000000341</v>
      </c>
      <c r="R23" s="187">
        <v>3</v>
      </c>
      <c r="S23" s="186">
        <f t="shared" si="3"/>
        <v>3.7708333333334472</v>
      </c>
      <c r="T23" s="185">
        <f>S23/S$21</f>
        <v>2.1368530411787461</v>
      </c>
      <c r="U23" s="184">
        <f>FDIST(T23,R23,R$21)</f>
        <v>0.13831639610290464</v>
      </c>
      <c r="V23" s="183" t="str">
        <f t="shared" si="4"/>
        <v/>
      </c>
      <c r="Y23" s="163"/>
    </row>
    <row r="24" spans="1:46" ht="18.75" thickTop="1">
      <c r="A24" s="174">
        <v>22</v>
      </c>
      <c r="B24" s="172">
        <v>6</v>
      </c>
      <c r="C24" s="143" t="s">
        <v>2</v>
      </c>
      <c r="D24" s="143">
        <v>-1</v>
      </c>
      <c r="E24" s="163">
        <v>1</v>
      </c>
      <c r="F24" s="165">
        <v>6.6</v>
      </c>
      <c r="G24" s="165">
        <v>8.295833333333329</v>
      </c>
      <c r="H24" s="173">
        <f>H23</f>
        <v>9</v>
      </c>
      <c r="I24" s="172">
        <v>1</v>
      </c>
      <c r="J24" s="172">
        <v>0</v>
      </c>
      <c r="K24" s="163">
        <v>0</v>
      </c>
      <c r="L24" s="172">
        <f t="shared" si="0"/>
        <v>-1</v>
      </c>
      <c r="M24" s="143">
        <f t="shared" si="1"/>
        <v>1</v>
      </c>
      <c r="N24" s="163">
        <f t="shared" si="2"/>
        <v>-1</v>
      </c>
      <c r="O24" s="637" t="s">
        <v>55</v>
      </c>
      <c r="P24" s="636"/>
      <c r="Q24" s="178">
        <f>SUMSQ(G3:G26)-24*AVERAGE(F3:F26)^2</f>
        <v>229.65083333333291</v>
      </c>
      <c r="R24" s="164">
        <v>5</v>
      </c>
      <c r="S24" s="177">
        <f t="shared" si="3"/>
        <v>45.93016666666658</v>
      </c>
      <c r="T24" s="176" t="s">
        <v>54</v>
      </c>
      <c r="U24" s="175">
        <f>SQRT(S23)</f>
        <v>1.9418633662885365</v>
      </c>
      <c r="V24" s="151"/>
      <c r="Y24" s="163"/>
    </row>
    <row r="25" spans="1:46" ht="18.75">
      <c r="A25" s="174">
        <v>23</v>
      </c>
      <c r="B25" s="172">
        <v>6</v>
      </c>
      <c r="C25" s="143" t="s">
        <v>2</v>
      </c>
      <c r="D25" s="143">
        <v>1</v>
      </c>
      <c r="E25" s="163">
        <v>-1</v>
      </c>
      <c r="F25" s="165">
        <v>12.3</v>
      </c>
      <c r="G25" s="165">
        <v>10.712499999999997</v>
      </c>
      <c r="H25" s="173">
        <f>H24</f>
        <v>9</v>
      </c>
      <c r="I25" s="172">
        <v>1</v>
      </c>
      <c r="J25" s="172">
        <v>0</v>
      </c>
      <c r="K25" s="163">
        <v>0</v>
      </c>
      <c r="L25" s="172">
        <f t="shared" si="0"/>
        <v>1</v>
      </c>
      <c r="M25" s="143">
        <f t="shared" si="1"/>
        <v>-1</v>
      </c>
      <c r="N25" s="143">
        <f t="shared" si="2"/>
        <v>-1</v>
      </c>
      <c r="O25" s="647" t="s">
        <v>53</v>
      </c>
      <c r="P25" s="648"/>
      <c r="Q25" s="170">
        <f>SUMSQ(F3:F26)-SUMSQ(G3:G26)</f>
        <v>37.782500000000482</v>
      </c>
      <c r="R25" s="151">
        <f>R23+R21</f>
        <v>18</v>
      </c>
      <c r="S25" s="151">
        <f t="shared" si="3"/>
        <v>2.0990277777778044</v>
      </c>
      <c r="T25" s="169" t="s">
        <v>52</v>
      </c>
      <c r="U25" s="168">
        <f>Q24/Q26</f>
        <v>0.8587217998254999</v>
      </c>
      <c r="V25" s="167" t="str">
        <f>IF(U25&lt;=0.05,"*","")</f>
        <v/>
      </c>
      <c r="X25" s="144"/>
      <c r="Y25" s="166"/>
    </row>
    <row r="26" spans="1:46">
      <c r="A26" s="162">
        <v>24</v>
      </c>
      <c r="B26" s="160">
        <v>6</v>
      </c>
      <c r="C26" s="150" t="s">
        <v>2</v>
      </c>
      <c r="D26" s="150">
        <v>1</v>
      </c>
      <c r="E26" s="149">
        <v>1</v>
      </c>
      <c r="F26" s="152">
        <v>8.3000000000000007</v>
      </c>
      <c r="G26" s="152">
        <v>10.495833333333332</v>
      </c>
      <c r="H26" s="161">
        <f>H25</f>
        <v>9</v>
      </c>
      <c r="I26" s="160">
        <v>1</v>
      </c>
      <c r="J26" s="160">
        <v>0</v>
      </c>
      <c r="K26" s="149">
        <v>0</v>
      </c>
      <c r="L26" s="160">
        <f t="shared" si="0"/>
        <v>1</v>
      </c>
      <c r="M26" s="150">
        <f t="shared" si="1"/>
        <v>1</v>
      </c>
      <c r="N26" s="150">
        <f t="shared" si="2"/>
        <v>1</v>
      </c>
      <c r="O26" s="641" t="s">
        <v>7</v>
      </c>
      <c r="P26" s="642"/>
      <c r="Q26" s="159">
        <f>Q25+Q24</f>
        <v>267.43333333333339</v>
      </c>
      <c r="R26" s="151">
        <f>24-1</f>
        <v>23</v>
      </c>
      <c r="S26" s="150">
        <f>Q25/R25</f>
        <v>2.0990277777778044</v>
      </c>
      <c r="T26" s="158" t="s">
        <v>51</v>
      </c>
      <c r="U26" s="157">
        <f>SQRT(S26)</f>
        <v>1.4488021872491097</v>
      </c>
      <c r="V26" s="156" t="str">
        <f>IF(U26&lt;=0.05,"*","")</f>
        <v/>
      </c>
      <c r="W26" s="155"/>
      <c r="X26" s="155"/>
      <c r="Y26" s="154"/>
    </row>
    <row r="28" spans="1:46">
      <c r="F28" s="148"/>
      <c r="Q28" s="147"/>
      <c r="AQ28" s="144"/>
      <c r="AR28" s="144"/>
      <c r="AS28" s="144"/>
      <c r="AT28" s="144"/>
    </row>
    <row r="29" spans="1:46">
      <c r="K29" s="144"/>
      <c r="L29" s="144"/>
      <c r="M29" s="144"/>
      <c r="N29" s="144"/>
      <c r="Q29" s="146"/>
      <c r="W29" s="144"/>
      <c r="X29" s="144"/>
      <c r="Y29" s="144"/>
      <c r="AQ29" s="144"/>
      <c r="AR29" s="144"/>
      <c r="AS29" s="144"/>
      <c r="AT29" s="144"/>
    </row>
    <row r="30" spans="1:46">
      <c r="K30" s="144"/>
      <c r="L30" s="144"/>
      <c r="M30" s="144"/>
      <c r="N30" s="144"/>
      <c r="W30" s="144"/>
      <c r="X30" s="144"/>
      <c r="Y30" s="144"/>
      <c r="AQ30" s="144"/>
      <c r="AR30" s="144"/>
      <c r="AS30" s="144"/>
      <c r="AT30" s="144"/>
    </row>
    <row r="31" spans="1:46">
      <c r="K31" s="144"/>
      <c r="L31" s="144"/>
      <c r="M31" s="144"/>
      <c r="N31" s="144"/>
      <c r="Q31" s="146"/>
      <c r="W31" s="144"/>
      <c r="X31" s="144"/>
      <c r="Y31" s="144"/>
      <c r="AQ31" s="144"/>
      <c r="AR31" s="144"/>
      <c r="AS31" s="144"/>
      <c r="AT31" s="144"/>
    </row>
    <row r="32" spans="1:46">
      <c r="K32" s="144"/>
      <c r="L32" s="144"/>
      <c r="M32" s="144"/>
      <c r="N32" s="144"/>
      <c r="W32" s="144"/>
      <c r="X32" s="144"/>
      <c r="Y32" s="144"/>
      <c r="AQ32" s="144"/>
      <c r="AR32" s="144"/>
      <c r="AS32" s="144"/>
      <c r="AT32" s="144"/>
    </row>
    <row r="33" spans="11:46">
      <c r="K33" s="144"/>
      <c r="L33" s="144"/>
      <c r="M33" s="144"/>
      <c r="N33" s="144"/>
      <c r="W33" s="144"/>
      <c r="X33" s="144"/>
      <c r="Y33" s="144"/>
      <c r="AQ33" s="144"/>
      <c r="AR33" s="144"/>
      <c r="AS33" s="144"/>
      <c r="AT33" s="144"/>
    </row>
    <row r="34" spans="11:46">
      <c r="W34" s="144"/>
      <c r="X34" s="144"/>
      <c r="Y34" s="144"/>
      <c r="AQ34" s="144"/>
      <c r="AR34" s="144"/>
      <c r="AS34" s="144"/>
      <c r="AT34" s="144"/>
    </row>
    <row r="35" spans="11:46">
      <c r="W35" s="144"/>
      <c r="X35" s="144"/>
      <c r="Y35" s="144"/>
      <c r="AQ35" s="144"/>
      <c r="AR35" s="144"/>
      <c r="AS35" s="144"/>
      <c r="AT35" s="144"/>
    </row>
    <row r="36" spans="11:46">
      <c r="W36" s="144"/>
      <c r="X36" s="144"/>
      <c r="Y36" s="144"/>
      <c r="AQ36" s="144"/>
      <c r="AR36" s="144"/>
      <c r="AS36" s="144"/>
      <c r="AT36" s="144"/>
    </row>
    <row r="37" spans="11:46">
      <c r="W37" s="144"/>
      <c r="X37" s="144"/>
      <c r="Y37" s="144"/>
      <c r="AQ37" s="144"/>
      <c r="AR37" s="144"/>
      <c r="AS37" s="144"/>
      <c r="AT37" s="144"/>
    </row>
    <row r="38" spans="11:46">
      <c r="W38" s="144"/>
      <c r="X38" s="144"/>
      <c r="Y38" s="144"/>
      <c r="AQ38" s="144"/>
      <c r="AR38" s="144"/>
      <c r="AS38" s="144"/>
      <c r="AT38" s="144"/>
    </row>
    <row r="39" spans="11:46">
      <c r="AQ39" s="144"/>
      <c r="AR39" s="144"/>
      <c r="AS39" s="144"/>
      <c r="AT39" s="144"/>
    </row>
    <row r="40" spans="11:46">
      <c r="AQ40" s="144"/>
      <c r="AR40" s="144"/>
      <c r="AS40" s="144"/>
      <c r="AT40" s="144"/>
    </row>
    <row r="41" spans="11:46">
      <c r="AQ41" s="144"/>
      <c r="AR41" s="144"/>
      <c r="AS41" s="144"/>
      <c r="AT41" s="144"/>
    </row>
    <row r="42" spans="11:46">
      <c r="AQ42" s="144"/>
      <c r="AR42" s="144"/>
      <c r="AS42" s="144"/>
      <c r="AT42" s="144"/>
    </row>
    <row r="43" spans="11:46">
      <c r="AQ43" s="144"/>
      <c r="AR43" s="144"/>
      <c r="AS43" s="144"/>
      <c r="AT43" s="144"/>
    </row>
    <row r="44" spans="11:46">
      <c r="AQ44" s="144"/>
      <c r="AR44" s="144"/>
      <c r="AS44" s="144"/>
      <c r="AT44" s="144"/>
    </row>
    <row r="45" spans="11:46">
      <c r="AQ45" s="144"/>
      <c r="AR45" s="144"/>
      <c r="AS45" s="144"/>
      <c r="AT45" s="144"/>
    </row>
    <row r="46" spans="11:46">
      <c r="AQ46" s="144"/>
      <c r="AR46" s="144"/>
      <c r="AS46" s="144"/>
      <c r="AT46" s="144"/>
    </row>
    <row r="47" spans="11:46">
      <c r="AQ47" s="144"/>
      <c r="AR47" s="144"/>
      <c r="AS47" s="144"/>
      <c r="AT47" s="144"/>
    </row>
    <row r="48" spans="11:46">
      <c r="AQ48" s="144"/>
      <c r="AR48" s="144"/>
      <c r="AS48" s="144"/>
      <c r="AT48" s="144"/>
    </row>
    <row r="49" spans="43:46">
      <c r="AQ49" s="144"/>
      <c r="AR49" s="144"/>
      <c r="AS49" s="144"/>
      <c r="AT49" s="144"/>
    </row>
    <row r="50" spans="43:46">
      <c r="AQ50" s="144"/>
      <c r="AR50" s="144"/>
      <c r="AS50" s="144"/>
      <c r="AT50" s="144"/>
    </row>
    <row r="51" spans="43:46">
      <c r="AQ51" s="144"/>
      <c r="AR51" s="144"/>
      <c r="AS51" s="144"/>
      <c r="AT51" s="144"/>
    </row>
    <row r="52" spans="43:46">
      <c r="AQ52" s="144"/>
      <c r="AR52" s="144"/>
      <c r="AS52" s="144"/>
      <c r="AT52" s="144"/>
    </row>
    <row r="53" spans="43:46">
      <c r="AQ53" s="144"/>
      <c r="AR53" s="144"/>
      <c r="AS53" s="144"/>
      <c r="AT53" s="144"/>
    </row>
    <row r="54" spans="43:46">
      <c r="AQ54" s="144"/>
      <c r="AR54" s="144"/>
      <c r="AS54" s="144"/>
      <c r="AT54" s="144"/>
    </row>
    <row r="55" spans="43:46">
      <c r="AQ55" s="144"/>
      <c r="AR55" s="144"/>
      <c r="AS55" s="144"/>
      <c r="AT55" s="144"/>
    </row>
    <row r="56" spans="43:46">
      <c r="AQ56" s="144"/>
      <c r="AR56" s="144"/>
      <c r="AS56" s="144"/>
      <c r="AT56" s="144"/>
    </row>
    <row r="57" spans="43:46">
      <c r="AQ57" s="144"/>
      <c r="AR57" s="144"/>
      <c r="AS57" s="144"/>
      <c r="AT57" s="144"/>
    </row>
    <row r="58" spans="43:46">
      <c r="AQ58" s="144"/>
      <c r="AR58" s="144"/>
      <c r="AS58" s="144"/>
      <c r="AT58" s="144"/>
    </row>
    <row r="59" spans="43:46">
      <c r="AQ59" s="144"/>
      <c r="AR59" s="144"/>
      <c r="AS59" s="144"/>
      <c r="AT59" s="144"/>
    </row>
    <row r="60" spans="43:46">
      <c r="AQ60" s="144"/>
      <c r="AR60" s="144"/>
      <c r="AS60" s="144"/>
      <c r="AT60" s="144"/>
    </row>
    <row r="61" spans="43:46">
      <c r="AQ61" s="144"/>
      <c r="AR61" s="144"/>
      <c r="AS61" s="144"/>
      <c r="AT61" s="144"/>
    </row>
    <row r="62" spans="43:46">
      <c r="AQ62" s="144"/>
      <c r="AR62" s="144"/>
      <c r="AS62" s="144"/>
      <c r="AT62" s="144"/>
    </row>
    <row r="63" spans="43:46">
      <c r="AQ63" s="144"/>
      <c r="AR63" s="144"/>
      <c r="AS63" s="144"/>
      <c r="AT63" s="144"/>
    </row>
    <row r="64" spans="43:46">
      <c r="AQ64" s="144"/>
      <c r="AR64" s="144"/>
      <c r="AS64" s="144"/>
      <c r="AT64" s="144"/>
    </row>
    <row r="65" spans="43:46">
      <c r="AQ65" s="144"/>
      <c r="AR65" s="144"/>
      <c r="AS65" s="144"/>
      <c r="AT65" s="144"/>
    </row>
    <row r="66" spans="43:46">
      <c r="AQ66" s="144"/>
      <c r="AR66" s="144"/>
      <c r="AS66" s="144"/>
      <c r="AT66" s="144"/>
    </row>
    <row r="67" spans="43:46">
      <c r="AQ67" s="144"/>
      <c r="AR67" s="144"/>
      <c r="AS67" s="144"/>
      <c r="AT67" s="144"/>
    </row>
    <row r="68" spans="43:46">
      <c r="AQ68" s="144"/>
      <c r="AR68" s="144"/>
      <c r="AS68" s="144"/>
      <c r="AT68" s="144"/>
    </row>
    <row r="69" spans="43:46">
      <c r="AQ69" s="144"/>
      <c r="AR69" s="144"/>
      <c r="AS69" s="144"/>
      <c r="AT69" s="144"/>
    </row>
    <row r="70" spans="43:46">
      <c r="AQ70" s="144"/>
      <c r="AR70" s="144"/>
      <c r="AS70" s="144"/>
      <c r="AT70" s="144"/>
    </row>
    <row r="71" spans="43:46">
      <c r="AQ71" s="144"/>
      <c r="AR71" s="144"/>
      <c r="AS71" s="144"/>
      <c r="AT71" s="144"/>
    </row>
    <row r="72" spans="43:46">
      <c r="AQ72" s="144"/>
      <c r="AR72" s="144"/>
      <c r="AS72" s="144"/>
      <c r="AT72" s="144"/>
    </row>
    <row r="73" spans="43:46">
      <c r="AQ73" s="144"/>
      <c r="AR73" s="144"/>
      <c r="AS73" s="144"/>
      <c r="AT73" s="144"/>
    </row>
    <row r="74" spans="43:46">
      <c r="AQ74" s="144"/>
      <c r="AR74" s="144"/>
      <c r="AS74" s="144"/>
      <c r="AT74" s="144"/>
    </row>
    <row r="75" spans="43:46">
      <c r="AQ75" s="144"/>
      <c r="AR75" s="144"/>
      <c r="AS75" s="144"/>
      <c r="AT75" s="144"/>
    </row>
    <row r="76" spans="43:46">
      <c r="AQ76" s="144"/>
      <c r="AR76" s="144"/>
      <c r="AS76" s="144"/>
      <c r="AT76" s="144"/>
    </row>
  </sheetData>
  <mergeCells count="23">
    <mergeCell ref="O26:P26"/>
    <mergeCell ref="O20:P20"/>
    <mergeCell ref="O23:P23"/>
    <mergeCell ref="O21:P21"/>
    <mergeCell ref="O25:P25"/>
    <mergeCell ref="O24:P24"/>
    <mergeCell ref="W18:Y18"/>
    <mergeCell ref="W19:Y19"/>
    <mergeCell ref="O22:P22"/>
    <mergeCell ref="O17:P17"/>
    <mergeCell ref="O18:P18"/>
    <mergeCell ref="O19:P19"/>
    <mergeCell ref="W20:Y20"/>
    <mergeCell ref="A1:F1"/>
    <mergeCell ref="I1:N1"/>
    <mergeCell ref="O1:T1"/>
    <mergeCell ref="U1:U2"/>
    <mergeCell ref="W17:Y17"/>
    <mergeCell ref="O16:P16"/>
    <mergeCell ref="W9:Y9"/>
    <mergeCell ref="W16:Y16"/>
    <mergeCell ref="O9:T9"/>
    <mergeCell ref="V1:V2"/>
  </mergeCells>
  <conditionalFormatting sqref="O3:T8 O10:T15">
    <cfRule type="cellIs" dxfId="1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64F4-1DFF-46FA-BCDB-F2F609F5C3C6}">
  <dimension ref="A1:Y39"/>
  <sheetViews>
    <sheetView zoomScaleNormal="100" workbookViewId="0">
      <selection activeCell="A2" sqref="A1:A1048576"/>
    </sheetView>
  </sheetViews>
  <sheetFormatPr defaultColWidth="5.875" defaultRowHeight="15" customHeight="1"/>
  <cols>
    <col min="1" max="3" width="5.875" style="94"/>
    <col min="4" max="4" width="5.875" style="1"/>
    <col min="5" max="5" width="5.875" style="1" customWidth="1"/>
    <col min="6" max="7" width="5.875" style="1"/>
    <col min="8" max="8" width="5.875" style="94"/>
    <col min="9" max="13" width="5.875" style="1"/>
    <col min="14" max="14" width="5.875" style="1" customWidth="1"/>
    <col min="15" max="19" width="5.875" style="1"/>
    <col min="20" max="20" width="5.875" style="1" customWidth="1"/>
    <col min="21" max="22" width="5.875" style="102" customWidth="1"/>
    <col min="23" max="23" width="5.875" style="1"/>
    <col min="24" max="25" width="5.875" style="1" customWidth="1"/>
    <col min="26" max="16384" width="5.875" style="1"/>
  </cols>
  <sheetData>
    <row r="1" spans="1:25" ht="15" customHeight="1">
      <c r="A1" s="652" t="s">
        <v>8</v>
      </c>
      <c r="B1" s="653"/>
      <c r="C1" s="653"/>
      <c r="D1" s="653"/>
      <c r="E1" s="562"/>
      <c r="F1" s="652" t="s">
        <v>9</v>
      </c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5"/>
    </row>
    <row r="2" spans="1:25" ht="15" customHeight="1">
      <c r="A2" s="656" t="s">
        <v>10</v>
      </c>
      <c r="B2" s="658" t="s">
        <v>11</v>
      </c>
      <c r="C2" s="659"/>
      <c r="D2" s="567" t="s">
        <v>12</v>
      </c>
      <c r="E2" s="570"/>
      <c r="F2" s="660" t="s">
        <v>13</v>
      </c>
      <c r="G2" s="661"/>
      <c r="H2" s="649" t="s">
        <v>14</v>
      </c>
      <c r="I2" s="650"/>
      <c r="J2" s="650"/>
      <c r="K2" s="650"/>
      <c r="L2" s="651"/>
      <c r="M2" s="649" t="s">
        <v>15</v>
      </c>
      <c r="N2" s="650"/>
      <c r="O2" s="650"/>
      <c r="P2" s="650"/>
      <c r="Q2" s="651"/>
      <c r="R2" s="649" t="s">
        <v>16</v>
      </c>
      <c r="S2" s="569"/>
      <c r="T2" s="567" t="s">
        <v>17</v>
      </c>
      <c r="U2" s="568"/>
      <c r="V2" s="568"/>
      <c r="W2" s="568"/>
      <c r="X2" s="568"/>
      <c r="Y2" s="570"/>
    </row>
    <row r="3" spans="1:25" ht="30" customHeight="1">
      <c r="A3" s="657"/>
      <c r="B3" s="14" t="s">
        <v>18</v>
      </c>
      <c r="C3" s="15" t="s">
        <v>19</v>
      </c>
      <c r="D3" s="16" t="s">
        <v>20</v>
      </c>
      <c r="E3" s="17" t="s">
        <v>19</v>
      </c>
      <c r="F3" s="16" t="s">
        <v>20</v>
      </c>
      <c r="G3" s="17" t="s">
        <v>19</v>
      </c>
      <c r="H3" s="10">
        <v>0</v>
      </c>
      <c r="I3" s="18">
        <v>1</v>
      </c>
      <c r="J3" s="19">
        <v>2</v>
      </c>
      <c r="K3" s="19">
        <v>3</v>
      </c>
      <c r="L3" s="20">
        <v>4</v>
      </c>
      <c r="M3" s="10">
        <v>0</v>
      </c>
      <c r="N3" s="18">
        <v>1</v>
      </c>
      <c r="O3" s="19">
        <v>2</v>
      </c>
      <c r="P3" s="19">
        <v>3</v>
      </c>
      <c r="Q3" s="20">
        <v>4</v>
      </c>
      <c r="R3" s="21" t="s">
        <v>20</v>
      </c>
      <c r="S3" s="22" t="s">
        <v>19</v>
      </c>
      <c r="T3" s="23" t="s">
        <v>21</v>
      </c>
      <c r="U3" s="24" t="s">
        <v>22</v>
      </c>
      <c r="V3" s="24" t="s">
        <v>23</v>
      </c>
      <c r="W3" s="23" t="s">
        <v>24</v>
      </c>
      <c r="X3" s="25" t="s">
        <v>25</v>
      </c>
      <c r="Y3" s="20" t="s">
        <v>26</v>
      </c>
    </row>
    <row r="4" spans="1:25" ht="15" customHeight="1">
      <c r="A4" s="26">
        <v>1</v>
      </c>
      <c r="B4" s="27">
        <v>0.4</v>
      </c>
      <c r="C4" s="28">
        <f>B4/B$17</f>
        <v>9.3023255813953501E-2</v>
      </c>
      <c r="D4" s="29">
        <v>193</v>
      </c>
      <c r="E4" s="30">
        <f t="shared" ref="E4" si="0">D4/y_max</f>
        <v>0.71301737646470897</v>
      </c>
      <c r="F4" s="31">
        <f t="array" ref="F4:F17">MMULT(X,Y27:Y31)</f>
        <v>193.2794117643657</v>
      </c>
      <c r="G4" s="30">
        <f t="shared" ref="G4:G17" si="1">F4/G$19</f>
        <v>0.71404963264699606</v>
      </c>
      <c r="H4" s="34">
        <v>1</v>
      </c>
      <c r="I4" s="35">
        <f>$C4^I$3</f>
        <v>9.3023255813953501E-2</v>
      </c>
      <c r="J4" s="36">
        <f t="shared" ref="J4:L17" si="2">$C4^J$3</f>
        <v>8.6533261222282339E-3</v>
      </c>
      <c r="K4" s="36">
        <f t="shared" si="2"/>
        <v>8.0496056950960329E-4</v>
      </c>
      <c r="L4" s="37">
        <f t="shared" si="2"/>
        <v>7.4880052977637523E-5</v>
      </c>
      <c r="M4" s="38">
        <v>1</v>
      </c>
      <c r="N4" s="39">
        <v>0</v>
      </c>
      <c r="O4" s="40">
        <f>N4^2</f>
        <v>0</v>
      </c>
      <c r="P4" s="40">
        <f>N4^3</f>
        <v>0</v>
      </c>
      <c r="Q4" s="41">
        <f>N4^4</f>
        <v>0</v>
      </c>
      <c r="R4" s="42">
        <f t="array" ref="R4:R24">MMULT(M4:Q24,Y27:Y31)</f>
        <v>151.40342887521547</v>
      </c>
      <c r="S4" s="44">
        <f t="shared" ref="S4" si="3">R4/y_max</f>
        <v>0.55934339712107406</v>
      </c>
      <c r="T4" s="45">
        <f t="array" ref="T4">SQRT(MMULT(MMULT(M4:Q4,MINVERSE(XTX)),TRANSPOSE(M4:Q4))*$D$21)*$F$23</f>
        <v>18.365155593925643</v>
      </c>
      <c r="U4" s="46">
        <f t="shared" ref="U4" si="4">(R4-T4)/y_max</f>
        <v>0.49149533981564902</v>
      </c>
      <c r="V4" s="46">
        <f t="shared" ref="V4" si="5">(R4+T4)/y_max</f>
        <v>0.62719145442649915</v>
      </c>
      <c r="W4" s="45">
        <f t="array" ref="W4">SQRT((MMULT(MMULT(M4:Q4,MINVERSE(XTX)),TRANSPOSE(M4:Q4))+1)*$D$21)*$F$23</f>
        <v>19.471729260314451</v>
      </c>
      <c r="X4" s="47">
        <f t="shared" ref="X4" si="6">(R4-W4)/y_max</f>
        <v>0.48740722451785895</v>
      </c>
      <c r="Y4" s="48">
        <f t="shared" ref="Y4" si="7">(R4+W4)/y_max</f>
        <v>0.63127956972428922</v>
      </c>
    </row>
    <row r="5" spans="1:25" ht="15" customHeight="1">
      <c r="A5" s="49">
        <v>2</v>
      </c>
      <c r="B5" s="50">
        <v>0.7</v>
      </c>
      <c r="C5" s="51">
        <f t="shared" ref="C5:C17" si="8">B5/B$17</f>
        <v>0.16279069767441859</v>
      </c>
      <c r="D5" s="52">
        <v>220</v>
      </c>
      <c r="E5" s="53">
        <f t="shared" ref="E5" si="9">D5/y_max</f>
        <v>0.8127659213587356</v>
      </c>
      <c r="F5" s="32">
        <v>219.22511312186256</v>
      </c>
      <c r="G5" s="53">
        <f t="shared" si="1"/>
        <v>0.80990318659756211</v>
      </c>
      <c r="H5" s="34">
        <v>1</v>
      </c>
      <c r="I5" s="35">
        <f t="shared" ref="I5:I17" si="10">$C5^I$3</f>
        <v>0.16279069767441859</v>
      </c>
      <c r="J5" s="36">
        <f t="shared" si="2"/>
        <v>2.6500811249323953E-2</v>
      </c>
      <c r="K5" s="36">
        <f t="shared" si="2"/>
        <v>4.3140855522155264E-3</v>
      </c>
      <c r="L5" s="37">
        <f t="shared" si="2"/>
        <v>7.0229299687229498E-4</v>
      </c>
      <c r="M5" s="34">
        <v>1</v>
      </c>
      <c r="N5" s="54">
        <f>N4+0.05</f>
        <v>0.05</v>
      </c>
      <c r="O5" s="36">
        <f t="shared" ref="O5:O24" si="11">N5^2</f>
        <v>2.5000000000000005E-3</v>
      </c>
      <c r="P5" s="36">
        <f t="shared" ref="P5:P24" si="12">N5^3</f>
        <v>1.2500000000000003E-4</v>
      </c>
      <c r="Q5" s="37">
        <f t="shared" ref="Q5:Q24" si="13">N5^4</f>
        <v>6.2500000000000028E-6</v>
      </c>
      <c r="R5" s="42">
        <v>174.87857575633532</v>
      </c>
      <c r="S5" s="44">
        <f t="shared" ref="S5" si="14">R5/y_max</f>
        <v>0.6460697579568242</v>
      </c>
      <c r="T5" s="55">
        <f t="array" ref="T5">SQRT(MMULT(MMULT(M5:Q5,MINVERSE(XTX)),TRANSPOSE(M5:Q5))*$D$21)*$F$23</f>
        <v>10.29636754091721</v>
      </c>
      <c r="U5" s="44">
        <f t="shared" ref="U5" si="15">(R5-T5)/y_max</f>
        <v>0.60803095499754356</v>
      </c>
      <c r="V5" s="44">
        <f t="shared" ref="V5" si="16">(R5+T5)/y_max</f>
        <v>0.68410856091610484</v>
      </c>
      <c r="W5" s="55">
        <f t="array" ref="W5">SQRT((MMULT(MMULT(M5:Q5,MINVERSE(XTX)),TRANSPOSE(M5:Q5))+1)*$D$21)*$F$23</f>
        <v>12.16077649393908</v>
      </c>
      <c r="X5" s="56">
        <f t="shared" ref="X5" si="17">(R5-W5)/y_max</f>
        <v>0.60114310017712402</v>
      </c>
      <c r="Y5" s="57">
        <f t="shared" ref="Y5" si="18">(R5+W5)/y_max</f>
        <v>0.69099641573652437</v>
      </c>
    </row>
    <row r="6" spans="1:25" ht="15" customHeight="1">
      <c r="A6" s="49">
        <v>3</v>
      </c>
      <c r="B6" s="50">
        <v>1</v>
      </c>
      <c r="C6" s="51">
        <f t="shared" si="8"/>
        <v>0.23255813953488372</v>
      </c>
      <c r="D6" s="52">
        <v>241</v>
      </c>
      <c r="E6" s="53">
        <f t="shared" ref="E6" si="19">D6/y_max</f>
        <v>0.8903481229429786</v>
      </c>
      <c r="F6" s="32">
        <v>240.00452488656956</v>
      </c>
      <c r="G6" s="53">
        <f t="shared" si="1"/>
        <v>0.88667044908953774</v>
      </c>
      <c r="H6" s="34">
        <v>1</v>
      </c>
      <c r="I6" s="35">
        <f t="shared" si="10"/>
        <v>0.23255813953488372</v>
      </c>
      <c r="J6" s="36">
        <f t="shared" si="2"/>
        <v>5.4083288263926443E-2</v>
      </c>
      <c r="K6" s="36">
        <f t="shared" si="2"/>
        <v>1.2577508898587544E-2</v>
      </c>
      <c r="L6" s="37">
        <f t="shared" si="2"/>
        <v>2.9250020694389636E-3</v>
      </c>
      <c r="M6" s="34">
        <v>1</v>
      </c>
      <c r="N6" s="54">
        <f t="shared" ref="N6:N24" si="20">N5+0.05</f>
        <v>0.1</v>
      </c>
      <c r="O6" s="36">
        <f t="shared" si="11"/>
        <v>1.0000000000000002E-2</v>
      </c>
      <c r="P6" s="36">
        <f t="shared" si="12"/>
        <v>1.0000000000000002E-3</v>
      </c>
      <c r="Q6" s="37">
        <f t="shared" si="13"/>
        <v>1.0000000000000005E-4</v>
      </c>
      <c r="R6" s="42">
        <v>196.09606363345705</v>
      </c>
      <c r="S6" s="44">
        <f t="shared" ref="S6" si="21">R6/y_max</f>
        <v>0.72445544469939982</v>
      </c>
      <c r="T6" s="55">
        <f t="array" ref="T6">SQRT(MMULT(MMULT(M6:Q6,MINVERSE(XTX)),TRANSPOSE(M6:Q6))*$D$21)*$F$23</f>
        <v>5.483291560077066</v>
      </c>
      <c r="U6" s="44">
        <f t="shared" ref="U6" si="22">(R6-T6)/y_max</f>
        <v>0.70419802416801525</v>
      </c>
      <c r="V6" s="44">
        <f t="shared" ref="V6" si="23">(R6+T6)/y_max</f>
        <v>0.7447128652307845</v>
      </c>
      <c r="W6" s="55">
        <f t="array" ref="W6">SQRT((MMULT(MMULT(M6:Q6,MINVERSE(XTX)),TRANSPOSE(M6:Q6))+1)*$D$21)*$F$23</f>
        <v>8.4814967270346884</v>
      </c>
      <c r="X6" s="56">
        <f t="shared" ref="X6" si="24">(R6-W6)/y_max</f>
        <v>0.6931214833273569</v>
      </c>
      <c r="Y6" s="57">
        <f t="shared" ref="Y6" si="25">(R6+W6)/y_max</f>
        <v>0.75578940607144274</v>
      </c>
    </row>
    <row r="7" spans="1:25" ht="15" customHeight="1">
      <c r="A7" s="49">
        <v>4</v>
      </c>
      <c r="B7" s="50">
        <v>1.3</v>
      </c>
      <c r="C7" s="51">
        <f t="shared" si="8"/>
        <v>0.30232558139534887</v>
      </c>
      <c r="D7" s="52">
        <v>251</v>
      </c>
      <c r="E7" s="53">
        <f t="shared" ref="E7" si="26">D7/y_max</f>
        <v>0.92729202845928471</v>
      </c>
      <c r="F7" s="32">
        <v>255.39777869156555</v>
      </c>
      <c r="G7" s="53">
        <f t="shared" si="1"/>
        <v>0.94353914050556698</v>
      </c>
      <c r="H7" s="34">
        <v>1</v>
      </c>
      <c r="I7" s="35">
        <f t="shared" si="10"/>
        <v>0.30232558139534887</v>
      </c>
      <c r="J7" s="36">
        <f t="shared" si="2"/>
        <v>9.1400757166035712E-2</v>
      </c>
      <c r="K7" s="36">
        <f t="shared" si="2"/>
        <v>2.7632787050196846E-2</v>
      </c>
      <c r="L7" s="37">
        <f t="shared" si="2"/>
        <v>8.354098410524629E-3</v>
      </c>
      <c r="M7" s="34">
        <v>1</v>
      </c>
      <c r="N7" s="54">
        <f t="shared" si="20"/>
        <v>0.15000000000000002</v>
      </c>
      <c r="O7" s="36">
        <f t="shared" si="11"/>
        <v>2.2500000000000006E-2</v>
      </c>
      <c r="P7" s="36">
        <f t="shared" si="12"/>
        <v>3.3750000000000013E-3</v>
      </c>
      <c r="Q7" s="37">
        <f t="shared" si="13"/>
        <v>5.062500000000003E-4</v>
      </c>
      <c r="R7" s="42">
        <v>214.84543746930473</v>
      </c>
      <c r="S7" s="44">
        <f t="shared" ref="S7" si="27">R7/y_max</f>
        <v>0.7937229542475458</v>
      </c>
      <c r="T7" s="55">
        <f t="array" ref="T7">SQRT(MMULT(MMULT(M7:Q7,MINVERSE(XTX)),TRANSPOSE(M7:Q7))*$D$21)*$F$23</f>
        <v>3.7225124334725068</v>
      </c>
      <c r="U7" s="44">
        <f t="shared" ref="U7" si="28">(R7-T7)/y_max</f>
        <v>0.7799705394849975</v>
      </c>
      <c r="V7" s="44">
        <f t="shared" ref="V7" si="29">(R7+T7)/y_max</f>
        <v>0.80747536901009409</v>
      </c>
      <c r="W7" s="55">
        <f t="array" ref="W7">SQRT((MMULT(MMULT(M7:Q7,MINVERSE(XTX)),TRANSPOSE(M7:Q7))+1)*$D$21)*$F$23</f>
        <v>7.4650116687949746</v>
      </c>
      <c r="X7" s="56">
        <f t="shared" ref="X7" si="30">(R7-W7)/y_max</f>
        <v>0.76614428567053738</v>
      </c>
      <c r="Y7" s="57">
        <f t="shared" ref="Y7" si="31">(R7+W7)/y_max</f>
        <v>0.82130162282455421</v>
      </c>
    </row>
    <row r="8" spans="1:25" ht="15" customHeight="1">
      <c r="A8" s="49">
        <v>5</v>
      </c>
      <c r="B8" s="50">
        <v>1.6</v>
      </c>
      <c r="C8" s="51">
        <f t="shared" si="8"/>
        <v>0.372093023255814</v>
      </c>
      <c r="D8" s="52">
        <v>268</v>
      </c>
      <c r="E8" s="53">
        <f t="shared" ref="E8" si="32">D8/y_max</f>
        <v>0.99009666783700523</v>
      </c>
      <c r="F8" s="32">
        <v>265.38512957593673</v>
      </c>
      <c r="G8" s="53">
        <f t="shared" si="1"/>
        <v>0.98043631524860753</v>
      </c>
      <c r="H8" s="34">
        <v>1</v>
      </c>
      <c r="I8" s="35">
        <f t="shared" si="10"/>
        <v>0.372093023255814</v>
      </c>
      <c r="J8" s="36">
        <f t="shared" si="2"/>
        <v>0.13845321795565174</v>
      </c>
      <c r="K8" s="36">
        <f t="shared" si="2"/>
        <v>5.151747644861461E-2</v>
      </c>
      <c r="L8" s="37">
        <f t="shared" si="2"/>
        <v>1.9169293562275206E-2</v>
      </c>
      <c r="M8" s="34">
        <v>1</v>
      </c>
      <c r="N8" s="54">
        <f t="shared" si="20"/>
        <v>0.2</v>
      </c>
      <c r="O8" s="36">
        <f t="shared" si="11"/>
        <v>4.0000000000000008E-2</v>
      </c>
      <c r="P8" s="36">
        <f t="shared" si="12"/>
        <v>8.0000000000000019E-3</v>
      </c>
      <c r="Q8" s="37">
        <f t="shared" si="13"/>
        <v>1.6000000000000007E-3</v>
      </c>
      <c r="R8" s="42">
        <v>230.96903405535085</v>
      </c>
      <c r="S8" s="44">
        <f t="shared" ref="S8" si="33">R8/y_max</f>
        <v>0.85328981713333829</v>
      </c>
      <c r="T8" s="55">
        <f t="array" ref="T8">SQRT(MMULT(MMULT(M8:Q8,MINVERSE(XTX)),TRANSPOSE(M8:Q8))*$D$21)*$F$23</f>
        <v>3.7013775633282924</v>
      </c>
      <c r="U8" s="44">
        <f t="shared" ref="U8" si="34">(R8-T8)/y_max</f>
        <v>0.83961548283536069</v>
      </c>
      <c r="V8" s="44">
        <f t="shared" ref="V8" si="35">(R8+T8)/y_max</f>
        <v>0.86696415143131589</v>
      </c>
      <c r="W8" s="55">
        <f t="array" ref="W8">SQRT((MMULT(MMULT(M8:Q8,MINVERSE(XTX)),TRANSPOSE(M8:Q8))+1)*$D$21)*$F$23</f>
        <v>7.4544950375057484</v>
      </c>
      <c r="X8" s="56">
        <f t="shared" ref="X8" si="36">(R8-W8)/y_max</f>
        <v>0.82575000109959973</v>
      </c>
      <c r="Y8" s="57">
        <f t="shared" ref="Y8" si="37">(R8+W8)/y_max</f>
        <v>0.88082963316707685</v>
      </c>
    </row>
    <row r="9" spans="1:25" ht="15" customHeight="1">
      <c r="A9" s="49">
        <v>6</v>
      </c>
      <c r="B9" s="50">
        <v>1.9</v>
      </c>
      <c r="C9" s="51">
        <f t="shared" si="8"/>
        <v>0.44186046511627908</v>
      </c>
      <c r="D9" s="52">
        <v>271</v>
      </c>
      <c r="E9" s="53">
        <f t="shared" ref="E9" si="38">D9/y_max</f>
        <v>1.0011798394918971</v>
      </c>
      <c r="F9" s="32">
        <v>270.14695598477658</v>
      </c>
      <c r="G9" s="53">
        <f t="shared" si="1"/>
        <v>0.99802836174193066</v>
      </c>
      <c r="H9" s="34">
        <v>1</v>
      </c>
      <c r="I9" s="35">
        <f t="shared" si="10"/>
        <v>0.44186046511627908</v>
      </c>
      <c r="J9" s="36">
        <f t="shared" si="2"/>
        <v>0.19524067063277448</v>
      </c>
      <c r="K9" s="36">
        <f t="shared" si="2"/>
        <v>8.6269133535411976E-2</v>
      </c>
      <c r="L9" s="37">
        <f t="shared" si="2"/>
        <v>3.8118919469135523E-2</v>
      </c>
      <c r="M9" s="34">
        <v>1</v>
      </c>
      <c r="N9" s="54">
        <f t="shared" si="20"/>
        <v>0.25</v>
      </c>
      <c r="O9" s="36">
        <f t="shared" si="11"/>
        <v>6.25E-2</v>
      </c>
      <c r="P9" s="36">
        <f t="shared" si="12"/>
        <v>1.5625E-2</v>
      </c>
      <c r="Q9" s="37">
        <f t="shared" si="13"/>
        <v>3.90625E-3</v>
      </c>
      <c r="R9" s="42">
        <v>244.36198201181651</v>
      </c>
      <c r="S9" s="44">
        <f t="shared" ref="S9" si="39">R9/y_max</f>
        <v>0.90276859752218552</v>
      </c>
      <c r="T9" s="55">
        <f t="array" ref="T9">SQRT(MMULT(MMULT(M9:Q9,MINVERSE(XTX)),TRANSPOSE(M9:Q9))*$D$21)*$F$23</f>
        <v>3.7479379113390938</v>
      </c>
      <c r="U9" s="44">
        <f t="shared" ref="U9" si="40">(R9-T9)/y_max</f>
        <v>0.88892225111443612</v>
      </c>
      <c r="V9" s="44">
        <f t="shared" ref="V9" si="41">(R9+T9)/y_max</f>
        <v>0.91661494392993492</v>
      </c>
      <c r="W9" s="55">
        <f t="array" ref="W9">SQRT((MMULT(MMULT(M9:Q9,MINVERSE(XTX)),TRANSPOSE(M9:Q9))+1)*$D$21)*$F$23</f>
        <v>7.477722847574694</v>
      </c>
      <c r="X9" s="56">
        <f t="shared" ref="X9" si="42">(R9-W9)/y_max</f>
        <v>0.87514296888639331</v>
      </c>
      <c r="Y9" s="57">
        <f t="shared" ref="Y9" si="43">(R9+W9)/y_max</f>
        <v>0.93039422615797784</v>
      </c>
    </row>
    <row r="10" spans="1:25" ht="15" customHeight="1">
      <c r="A10" s="49">
        <v>7</v>
      </c>
      <c r="B10" s="50">
        <v>2.2000000000000002</v>
      </c>
      <c r="C10" s="51">
        <f t="shared" si="8"/>
        <v>0.51162790697674421</v>
      </c>
      <c r="D10" s="52">
        <v>272</v>
      </c>
      <c r="E10" s="53">
        <f t="shared" ref="E10" si="44">D10/y_max</f>
        <v>1.0048742300435276</v>
      </c>
      <c r="F10" s="32">
        <v>270.06375976918559</v>
      </c>
      <c r="G10" s="53">
        <f t="shared" si="1"/>
        <v>0.99772100242911987</v>
      </c>
      <c r="H10" s="34">
        <v>1</v>
      </c>
      <c r="I10" s="35">
        <f t="shared" si="10"/>
        <v>0.51162790697674421</v>
      </c>
      <c r="J10" s="36">
        <f t="shared" si="2"/>
        <v>0.26176311519740403</v>
      </c>
      <c r="K10" s="36">
        <f t="shared" si="2"/>
        <v>0.13392531475216021</v>
      </c>
      <c r="L10" s="37">
        <f t="shared" si="2"/>
        <v>6.8519928477849407E-2</v>
      </c>
      <c r="M10" s="34">
        <v>1</v>
      </c>
      <c r="N10" s="54">
        <f t="shared" si="20"/>
        <v>0.3</v>
      </c>
      <c r="O10" s="36">
        <f t="shared" si="11"/>
        <v>0.09</v>
      </c>
      <c r="P10" s="36">
        <f t="shared" si="12"/>
        <v>2.7E-2</v>
      </c>
      <c r="Q10" s="37">
        <f t="shared" si="13"/>
        <v>8.0999999999999996E-3</v>
      </c>
      <c r="R10" s="42">
        <v>254.97220178767131</v>
      </c>
      <c r="S10" s="44">
        <f t="shared" ref="S10" si="45">R10/y_max</f>
        <v>0.94196689321282789</v>
      </c>
      <c r="T10" s="55">
        <f t="array" ref="T10">SQRT(MMULT(MMULT(M10:Q10,MINVERSE(XTX)),TRANSPOSE(M10:Q10))*$D$21)*$F$23</f>
        <v>3.5101142299495094</v>
      </c>
      <c r="U10" s="44">
        <f t="shared" ref="U10" si="46">(R10-T10)/y_max</f>
        <v>0.92899916036655816</v>
      </c>
      <c r="V10" s="44">
        <f t="shared" ref="V10" si="47">(R10+T10)/y_max</f>
        <v>0.9549346260590974</v>
      </c>
      <c r="W10" s="55">
        <f t="array" ref="W10">SQRT((MMULT(MMULT(M10:Q10,MINVERSE(XTX)),TRANSPOSE(M10:Q10))+1)*$D$21)*$F$23</f>
        <v>7.3613994800704683</v>
      </c>
      <c r="X10" s="56">
        <f t="shared" ref="X10" si="48">(R10-W10)/y_max</f>
        <v>0.91477100852687698</v>
      </c>
      <c r="Y10" s="57">
        <f t="shared" ref="Y10" si="49">(R10+W10)/y_max</f>
        <v>0.96916277789877869</v>
      </c>
    </row>
    <row r="11" spans="1:25" ht="15" customHeight="1">
      <c r="A11" s="49">
        <v>8</v>
      </c>
      <c r="B11" s="50">
        <v>2.5</v>
      </c>
      <c r="C11" s="51">
        <f t="shared" si="8"/>
        <v>0.58139534883720934</v>
      </c>
      <c r="D11" s="52">
        <v>263</v>
      </c>
      <c r="E11" s="53">
        <f t="shared" ref="E11" si="50">D11/y_max</f>
        <v>0.97162471507885206</v>
      </c>
      <c r="F11" s="32">
        <v>265.71616618627138</v>
      </c>
      <c r="G11" s="53">
        <f t="shared" si="1"/>
        <v>0.98165929377407168</v>
      </c>
      <c r="H11" s="34">
        <v>1</v>
      </c>
      <c r="I11" s="35">
        <f t="shared" si="10"/>
        <v>0.58139534883720934</v>
      </c>
      <c r="J11" s="36">
        <f t="shared" si="2"/>
        <v>0.33802055164954031</v>
      </c>
      <c r="K11" s="36">
        <f t="shared" si="2"/>
        <v>0.19652357654043043</v>
      </c>
      <c r="L11" s="37">
        <f t="shared" si="2"/>
        <v>0.11425789333745955</v>
      </c>
      <c r="M11" s="34">
        <v>1</v>
      </c>
      <c r="N11" s="54">
        <f t="shared" si="20"/>
        <v>0.35</v>
      </c>
      <c r="O11" s="36">
        <f t="shared" si="11"/>
        <v>0.12249999999999998</v>
      </c>
      <c r="P11" s="36">
        <f t="shared" si="12"/>
        <v>4.287499999999999E-2</v>
      </c>
      <c r="Q11" s="37">
        <f t="shared" si="13"/>
        <v>1.5006249999999995E-2</v>
      </c>
      <c r="R11" s="42">
        <v>262.80040566063343</v>
      </c>
      <c r="S11" s="44">
        <f t="shared" ref="S11" si="51">R11/y_max</f>
        <v>0.97088733563733731</v>
      </c>
      <c r="T11" s="55">
        <f t="array" ref="T11">SQRT(MMULT(MMULT(M11:Q11,MINVERSE(XTX)),TRANSPOSE(M11:Q11))*$D$21)*$F$23</f>
        <v>3.1865265095933988</v>
      </c>
      <c r="U11" s="44">
        <f t="shared" ref="U11" si="52">(R11-T11)/y_max</f>
        <v>0.95911506220777487</v>
      </c>
      <c r="V11" s="44">
        <f t="shared" ref="V11" si="53">(R11+T11)/y_max</f>
        <v>0.98265960906689975</v>
      </c>
      <c r="W11" s="55">
        <f t="array" ref="W11">SQRT((MMULT(MMULT(M11:Q11,MINVERSE(XTX)),TRANSPOSE(M11:Q11))+1)*$D$21)*$F$23</f>
        <v>7.2127145787303419</v>
      </c>
      <c r="X11" s="56">
        <f t="shared" ref="X11" si="54">(R11-W11)/y_max</f>
        <v>0.94424075104606753</v>
      </c>
      <c r="Y11" s="57">
        <f t="shared" ref="Y11" si="55">(R11+W11)/y_max</f>
        <v>0.9975339202286071</v>
      </c>
    </row>
    <row r="12" spans="1:25" ht="15" customHeight="1">
      <c r="A12" s="49">
        <v>9</v>
      </c>
      <c r="B12" s="50">
        <v>2.8</v>
      </c>
      <c r="C12" s="51">
        <f t="shared" si="8"/>
        <v>0.65116279069767435</v>
      </c>
      <c r="D12" s="52">
        <v>257</v>
      </c>
      <c r="E12" s="53">
        <f t="shared" ref="E12" si="56">D12/y_max</f>
        <v>0.94945837176906844</v>
      </c>
      <c r="F12" s="32">
        <v>257.88492389914899</v>
      </c>
      <c r="G12" s="53">
        <f t="shared" si="1"/>
        <v>0.95272762626099661</v>
      </c>
      <c r="H12" s="34">
        <v>1</v>
      </c>
      <c r="I12" s="35">
        <f t="shared" si="10"/>
        <v>0.65116279069767435</v>
      </c>
      <c r="J12" s="36">
        <f t="shared" si="2"/>
        <v>0.42401297998918325</v>
      </c>
      <c r="K12" s="36">
        <f t="shared" si="2"/>
        <v>0.27610147534179369</v>
      </c>
      <c r="L12" s="37">
        <f t="shared" si="2"/>
        <v>0.17978700719930751</v>
      </c>
      <c r="M12" s="34">
        <v>1</v>
      </c>
      <c r="N12" s="54">
        <f t="shared" si="20"/>
        <v>0.39999999999999997</v>
      </c>
      <c r="O12" s="36">
        <f t="shared" si="11"/>
        <v>0.15999999999999998</v>
      </c>
      <c r="P12" s="36">
        <f t="shared" si="12"/>
        <v>6.3999999999999987E-2</v>
      </c>
      <c r="Q12" s="37">
        <f t="shared" si="13"/>
        <v>2.5599999999999991E-2</v>
      </c>
      <c r="R12" s="42">
        <v>267.9000977371694</v>
      </c>
      <c r="S12" s="44">
        <f t="shared" ref="S12" si="57">R12/y_max</f>
        <v>0.98972758986111731</v>
      </c>
      <c r="T12" s="55">
        <f t="array" ref="T12">SQRT(MMULT(MMULT(M12:Q12,MINVERSE(XTX)),TRANSPOSE(M12:Q12))*$D$21)*$F$23</f>
        <v>3.0230611428228351</v>
      </c>
      <c r="U12" s="44">
        <f t="shared" ref="U12" si="58">(R12-T12)/y_max</f>
        <v>0.97855922133807105</v>
      </c>
      <c r="V12" s="44">
        <f t="shared" ref="V12" si="59">(R12+T12)/y_max</f>
        <v>1.0008959583841637</v>
      </c>
      <c r="W12" s="55">
        <f t="array" ref="W12">SQRT((MMULT(MMULT(M12:Q12,MINVERSE(XTX)),TRANSPOSE(M12:Q12))+1)*$D$21)*$F$23</f>
        <v>7.1420024552735235</v>
      </c>
      <c r="X12" s="56">
        <f t="shared" ref="X12" si="60">(R12-W12)/y_max</f>
        <v>0.96334224347063213</v>
      </c>
      <c r="Y12" s="57">
        <f t="shared" ref="Y12" si="61">(R12+W12)/y_max</f>
        <v>1.0161129362516026</v>
      </c>
    </row>
    <row r="13" spans="1:25" ht="15" customHeight="1">
      <c r="A13" s="49">
        <v>10</v>
      </c>
      <c r="B13" s="50">
        <v>3.1</v>
      </c>
      <c r="C13" s="51">
        <f t="shared" si="8"/>
        <v>0.72093023255813959</v>
      </c>
      <c r="D13" s="52">
        <v>247</v>
      </c>
      <c r="E13" s="53">
        <f t="shared" ref="E13" si="62">D13/y_max</f>
        <v>0.91251446625276222</v>
      </c>
      <c r="F13" s="32">
        <v>247.55090497694027</v>
      </c>
      <c r="G13" s="53">
        <f t="shared" si="1"/>
        <v>0.91454972439441673</v>
      </c>
      <c r="H13" s="34">
        <v>1</v>
      </c>
      <c r="I13" s="35">
        <f t="shared" si="10"/>
        <v>0.72093023255813959</v>
      </c>
      <c r="J13" s="36">
        <f t="shared" si="2"/>
        <v>0.51974040021633328</v>
      </c>
      <c r="K13" s="36">
        <f t="shared" si="2"/>
        <v>0.37469656759782172</v>
      </c>
      <c r="L13" s="37">
        <f t="shared" si="2"/>
        <v>0.27013008361703428</v>
      </c>
      <c r="M13" s="34">
        <v>1</v>
      </c>
      <c r="N13" s="54">
        <f t="shared" si="20"/>
        <v>0.44999999999999996</v>
      </c>
      <c r="O13" s="36">
        <f t="shared" si="11"/>
        <v>0.20249999999999996</v>
      </c>
      <c r="P13" s="36">
        <f t="shared" si="12"/>
        <v>9.112499999999997E-2</v>
      </c>
      <c r="Q13" s="37">
        <f t="shared" si="13"/>
        <v>4.100624999999998E-2</v>
      </c>
      <c r="R13" s="42">
        <v>270.37757395249434</v>
      </c>
      <c r="S13" s="44">
        <f t="shared" ref="S13" si="63">R13/y_max</f>
        <v>0.99888035458290336</v>
      </c>
      <c r="T13" s="55">
        <f t="array" ref="T13">SQRT(MMULT(MMULT(M13:Q13,MINVERSE(XTX)),TRANSPOSE(M13:Q13))*$D$21)*$F$23</f>
        <v>3.0823544309996955</v>
      </c>
      <c r="U13" s="44">
        <f t="shared" ref="U13" si="64">(R13-T13)/y_max</f>
        <v>0.98749293349624123</v>
      </c>
      <c r="V13" s="44">
        <f t="shared" ref="V13" si="65">(R13+T13)/y_max</f>
        <v>1.0102677756695655</v>
      </c>
      <c r="W13" s="55">
        <f t="array" ref="W13">SQRT((MMULT(MMULT(M13:Q13,MINVERSE(XTX)),TRANSPOSE(M13:Q13))+1)*$D$21)*$F$23</f>
        <v>7.167301391471633</v>
      </c>
      <c r="X13" s="56">
        <f t="shared" ref="X13" si="66">(R13-W13)/y_max</f>
        <v>0.97240154404156154</v>
      </c>
      <c r="Y13" s="57">
        <f t="shared" ref="Y13" si="67">(R13+W13)/y_max</f>
        <v>1.0253591651242453</v>
      </c>
    </row>
    <row r="14" spans="1:25" ht="15" customHeight="1">
      <c r="A14" s="49">
        <v>11</v>
      </c>
      <c r="B14" s="50">
        <v>3.4</v>
      </c>
      <c r="C14" s="51">
        <f t="shared" si="8"/>
        <v>0.79069767441860461</v>
      </c>
      <c r="D14" s="52">
        <v>239</v>
      </c>
      <c r="E14" s="53">
        <f t="shared" ref="E14" si="68">D14/y_max</f>
        <v>0.88295934183971736</v>
      </c>
      <c r="F14" s="32">
        <v>235.89510489477479</v>
      </c>
      <c r="G14" s="53">
        <f t="shared" si="1"/>
        <v>0.87148864669916914</v>
      </c>
      <c r="H14" s="34">
        <v>1</v>
      </c>
      <c r="I14" s="35">
        <f t="shared" si="10"/>
        <v>0.79069767441860461</v>
      </c>
      <c r="J14" s="36">
        <f t="shared" si="2"/>
        <v>0.62520281233098962</v>
      </c>
      <c r="K14" s="36">
        <f t="shared" si="2"/>
        <v>0.49434640975008481</v>
      </c>
      <c r="L14" s="37">
        <f t="shared" si="2"/>
        <v>0.3908785565465786</v>
      </c>
      <c r="M14" s="34">
        <v>1</v>
      </c>
      <c r="N14" s="54">
        <f t="shared" si="20"/>
        <v>0.49999999999999994</v>
      </c>
      <c r="O14" s="36">
        <f t="shared" si="11"/>
        <v>0.24999999999999994</v>
      </c>
      <c r="P14" s="36">
        <f t="shared" si="12"/>
        <v>0.12499999999999996</v>
      </c>
      <c r="Q14" s="37">
        <f t="shared" si="13"/>
        <v>6.2499999999999972E-2</v>
      </c>
      <c r="R14" s="42">
        <v>270.39192207057204</v>
      </c>
      <c r="S14" s="44">
        <f t="shared" ref="S14" si="69">R14/y_max</f>
        <v>0.99893336213476325</v>
      </c>
      <c r="T14" s="55">
        <f t="array" ref="T14">SQRT(MMULT(MMULT(M14:Q14,MINVERSE(XTX)),TRANSPOSE(M14:Q14))*$D$21)*$F$23</f>
        <v>3.2231757123308431</v>
      </c>
      <c r="U14" s="44">
        <f t="shared" ref="U14" si="70">(R14-T14)/y_max</f>
        <v>0.98702569223688297</v>
      </c>
      <c r="V14" s="44">
        <f t="shared" ref="V14" si="71">(R14+T14)/y_max</f>
        <v>1.0108410320326435</v>
      </c>
      <c r="W14" s="55">
        <f t="array" ref="W14">SQRT((MMULT(MMULT(M14:Q14,MINVERSE(XTX)),TRANSPOSE(M14:Q14))+1)*$D$21)*$F$23</f>
        <v>7.2289807075719299</v>
      </c>
      <c r="X14" s="56">
        <f t="shared" ref="X14" si="72">(R14-W14)/y_max</f>
        <v>0.97222668411078961</v>
      </c>
      <c r="Y14" s="57">
        <f t="shared" ref="Y14" si="73">(R14+W14)/y_max</f>
        <v>1.0256400401587369</v>
      </c>
    </row>
    <row r="15" spans="1:25" ht="15" customHeight="1">
      <c r="A15" s="49">
        <v>12</v>
      </c>
      <c r="B15" s="50">
        <v>3.7</v>
      </c>
      <c r="C15" s="51">
        <f t="shared" si="8"/>
        <v>0.86046511627906985</v>
      </c>
      <c r="D15" s="52">
        <v>223</v>
      </c>
      <c r="E15" s="53">
        <f t="shared" ref="E15" si="74">D15/y_max</f>
        <v>0.82384909301362741</v>
      </c>
      <c r="F15" s="32">
        <v>224.29864253378861</v>
      </c>
      <c r="G15" s="53">
        <f t="shared" si="1"/>
        <v>0.82864678572040174</v>
      </c>
      <c r="H15" s="34">
        <v>1</v>
      </c>
      <c r="I15" s="35">
        <f t="shared" si="10"/>
        <v>0.86046511627906985</v>
      </c>
      <c r="J15" s="36">
        <f t="shared" si="2"/>
        <v>0.74040021633315323</v>
      </c>
      <c r="K15" s="36">
        <f t="shared" si="2"/>
        <v>0.6370885582401552</v>
      </c>
      <c r="L15" s="37">
        <f t="shared" si="2"/>
        <v>0.54819248034618007</v>
      </c>
      <c r="M15" s="34">
        <v>1</v>
      </c>
      <c r="N15" s="54">
        <f t="shared" si="20"/>
        <v>0.54999999999999993</v>
      </c>
      <c r="O15" s="36">
        <f t="shared" si="11"/>
        <v>0.30249999999999994</v>
      </c>
      <c r="P15" s="36">
        <f t="shared" si="12"/>
        <v>0.16637499999999994</v>
      </c>
      <c r="Q15" s="37">
        <f t="shared" si="13"/>
        <v>9.1506249999999956E-2</v>
      </c>
      <c r="R15" s="42">
        <v>268.15502168411456</v>
      </c>
      <c r="S15" s="44">
        <f t="shared" ref="S15" si="75">R15/y_max</f>
        <v>0.99066937848209591</v>
      </c>
      <c r="T15" s="55">
        <f t="array" ref="T15">SQRT(MMULT(MMULT(M15:Q15,MINVERSE(XTX)),TRANSPOSE(M15:Q15))*$D$21)*$F$23</f>
        <v>3.2830963801164428</v>
      </c>
      <c r="U15" s="44">
        <f t="shared" ref="U15" si="76">(R15-T15)/y_max</f>
        <v>0.97854033823530107</v>
      </c>
      <c r="V15" s="44">
        <f t="shared" ref="V15" si="77">(R15+T15)/y_max</f>
        <v>1.0027984187288908</v>
      </c>
      <c r="W15" s="55">
        <f t="array" ref="W15">SQRT((MMULT(MMULT(M15:Q15,MINVERSE(XTX)),TRANSPOSE(M15:Q15))+1)*$D$21)*$F$23</f>
        <v>7.2558956882676737</v>
      </c>
      <c r="X15" s="56">
        <f t="shared" ref="X15" si="78">(R15-W15)/y_max</f>
        <v>0.96386326600774241</v>
      </c>
      <c r="Y15" s="57">
        <f t="shared" ref="Y15" si="79">(R15+W15)/y_max</f>
        <v>1.0174754909564494</v>
      </c>
    </row>
    <row r="16" spans="1:25" ht="15" customHeight="1">
      <c r="A16" s="49">
        <v>13</v>
      </c>
      <c r="B16" s="50">
        <v>4</v>
      </c>
      <c r="C16" s="51">
        <f t="shared" si="8"/>
        <v>0.93023255813953487</v>
      </c>
      <c r="D16" s="52">
        <v>214</v>
      </c>
      <c r="E16" s="53">
        <f t="shared" ref="E16" si="80">D16/y_max</f>
        <v>0.79059957804895187</v>
      </c>
      <c r="F16" s="32">
        <v>214.34276018112581</v>
      </c>
      <c r="G16" s="53">
        <f t="shared" si="1"/>
        <v>0.79186586802357828</v>
      </c>
      <c r="H16" s="34">
        <v>1</v>
      </c>
      <c r="I16" s="35">
        <f t="shared" si="10"/>
        <v>0.93023255813953487</v>
      </c>
      <c r="J16" s="36">
        <f t="shared" si="2"/>
        <v>0.86533261222282309</v>
      </c>
      <c r="K16" s="36">
        <f t="shared" si="2"/>
        <v>0.80496056950960282</v>
      </c>
      <c r="L16" s="37">
        <f t="shared" si="2"/>
        <v>0.74880052977637468</v>
      </c>
      <c r="M16" s="34">
        <v>1</v>
      </c>
      <c r="N16" s="54">
        <f t="shared" si="20"/>
        <v>0.6</v>
      </c>
      <c r="O16" s="36">
        <f t="shared" si="11"/>
        <v>0.36</v>
      </c>
      <c r="P16" s="36">
        <f t="shared" si="12"/>
        <v>0.216</v>
      </c>
      <c r="Q16" s="37">
        <f t="shared" si="13"/>
        <v>0.12959999999999999</v>
      </c>
      <c r="R16" s="42">
        <v>263.93154421458257</v>
      </c>
      <c r="S16" s="44">
        <f t="shared" ref="S16" si="81">R16/y_max</f>
        <v>0.97506620322363213</v>
      </c>
      <c r="T16" s="55">
        <f t="array" ref="T16">SQRT(MMULT(MMULT(M16:Q16,MINVERSE(XTX)),TRANSPOSE(M16:Q16))*$D$21)*$F$23</f>
        <v>3.2055267328375918</v>
      </c>
      <c r="U16" s="44">
        <f t="shared" ref="U16" si="82">(R16-T16)/y_max</f>
        <v>0.96322373554883756</v>
      </c>
      <c r="V16" s="44">
        <f t="shared" ref="V16" si="83">(R16+T16)/y_max</f>
        <v>0.98690867089842671</v>
      </c>
      <c r="W16" s="55">
        <f t="array" ref="W16">SQRT((MMULT(MMULT(M16:Q16,MINVERSE(XTX)),TRANSPOSE(M16:Q16))+1)*$D$21)*$F$23</f>
        <v>7.2211288613916986</v>
      </c>
      <c r="X16" s="56">
        <f t="shared" ref="X16" si="84">(R16-W16)/y_max</f>
        <v>0.94838853298599946</v>
      </c>
      <c r="Y16" s="57">
        <f t="shared" ref="Y16" si="85">(R16+W16)/y_max</f>
        <v>1.0017438734612649</v>
      </c>
    </row>
    <row r="17" spans="1:25" ht="15" customHeight="1">
      <c r="A17" s="58">
        <v>14</v>
      </c>
      <c r="B17" s="59">
        <v>4.3</v>
      </c>
      <c r="C17" s="60">
        <f t="shared" si="8"/>
        <v>1</v>
      </c>
      <c r="D17" s="61">
        <v>208</v>
      </c>
      <c r="E17" s="62">
        <f t="shared" ref="E17" si="86">D17/y_max</f>
        <v>0.76843323473916825</v>
      </c>
      <c r="F17" s="33">
        <v>207.80882352993649</v>
      </c>
      <c r="G17" s="62">
        <f t="shared" si="1"/>
        <v>0.76772695419447146</v>
      </c>
      <c r="H17" s="63">
        <v>1</v>
      </c>
      <c r="I17" s="64">
        <f t="shared" si="10"/>
        <v>1</v>
      </c>
      <c r="J17" s="65">
        <f t="shared" si="2"/>
        <v>1</v>
      </c>
      <c r="K17" s="65">
        <f t="shared" si="2"/>
        <v>1</v>
      </c>
      <c r="L17" s="66">
        <f t="shared" si="2"/>
        <v>1</v>
      </c>
      <c r="M17" s="34">
        <v>1</v>
      </c>
      <c r="N17" s="54">
        <f t="shared" si="20"/>
        <v>0.65</v>
      </c>
      <c r="O17" s="36">
        <f t="shared" si="11"/>
        <v>0.42250000000000004</v>
      </c>
      <c r="P17" s="36">
        <f t="shared" si="12"/>
        <v>0.27462500000000006</v>
      </c>
      <c r="Q17" s="37">
        <f t="shared" si="13"/>
        <v>0.17850625000000003</v>
      </c>
      <c r="R17" s="42">
        <v>258.03895291218527</v>
      </c>
      <c r="S17" s="44">
        <f t="shared" ref="S17" si="87">R17/y_max</f>
        <v>0.95329666959143478</v>
      </c>
      <c r="T17" s="55">
        <f t="array" ref="T17">SQRT(MMULT(MMULT(M17:Q17,MINVERSE(XTX)),TRANSPOSE(M17:Q17))*$D$21)*$F$23</f>
        <v>3.0648237929596251</v>
      </c>
      <c r="U17" s="44">
        <f t="shared" ref="U17" si="88">(R17-T17)/y_max</f>
        <v>0.941974013528312</v>
      </c>
      <c r="V17" s="44">
        <f t="shared" ref="V17" si="89">(R17+T17)/y_max</f>
        <v>0.96461932565455744</v>
      </c>
      <c r="W17" s="55">
        <f t="array" ref="W17">SQRT((MMULT(MMULT(M17:Q17,MINVERSE(XTX)),TRANSPOSE(M17:Q17))+1)*$D$21)*$F$23</f>
        <v>7.1597796949193313</v>
      </c>
      <c r="X17" s="56">
        <f t="shared" ref="X17" si="90">(R17-W17)/y_max</f>
        <v>0.92684564713476802</v>
      </c>
      <c r="Y17" s="57">
        <f t="shared" ref="Y17" si="91">(R17+W17)/y_max</f>
        <v>0.97974769204810153</v>
      </c>
    </row>
    <row r="18" spans="1:25" ht="15" customHeight="1">
      <c r="A18" s="649" t="s">
        <v>27</v>
      </c>
      <c r="B18" s="650"/>
      <c r="C18" s="650"/>
      <c r="D18" s="650"/>
      <c r="E18" s="650"/>
      <c r="F18" s="569"/>
      <c r="G18" s="67" t="s">
        <v>28</v>
      </c>
      <c r="H18" s="649" t="s">
        <v>29</v>
      </c>
      <c r="I18" s="650"/>
      <c r="J18" s="650"/>
      <c r="K18" s="650"/>
      <c r="L18" s="651"/>
      <c r="M18" s="34">
        <v>1</v>
      </c>
      <c r="N18" s="54">
        <f t="shared" si="20"/>
        <v>0.70000000000000007</v>
      </c>
      <c r="O18" s="36">
        <f t="shared" si="11"/>
        <v>0.4900000000000001</v>
      </c>
      <c r="P18" s="36">
        <f t="shared" si="12"/>
        <v>0.34300000000000008</v>
      </c>
      <c r="Q18" s="37">
        <f t="shared" si="13"/>
        <v>0.24010000000000009</v>
      </c>
      <c r="R18" s="42">
        <v>250.84750285588046</v>
      </c>
      <c r="S18" s="44">
        <f t="shared" ref="S18" si="92">R18/y_max</f>
        <v>0.92672864445089886</v>
      </c>
      <c r="T18" s="55">
        <f t="array" ref="T18">SQRT(MMULT(MMULT(M18:Q18,MINVERSE(XTX)),TRANSPOSE(M18:Q18))*$D$21)*$F$23</f>
        <v>3.0311876476870285</v>
      </c>
      <c r="U18" s="44">
        <f t="shared" ref="U18" si="93">(R18-T18)/y_max</f>
        <v>0.91553025344506445</v>
      </c>
      <c r="V18" s="44">
        <f t="shared" ref="V18" si="94">(R18+T18)/y_max</f>
        <v>0.93792703545673328</v>
      </c>
      <c r="W18" s="55">
        <f t="array" ref="W18">SQRT((MMULT(MMULT(M18:Q18,MINVERSE(XTX)),TRANSPOSE(M18:Q18))+1)*$D$21)*$F$23</f>
        <v>7.1454460290018389</v>
      </c>
      <c r="X18" s="56">
        <f t="shared" ref="X18" si="95">(R18-W18)/y_max</f>
        <v>0.90033057615416789</v>
      </c>
      <c r="Y18" s="57">
        <f t="shared" ref="Y18" si="96">(R18+W18)/y_max</f>
        <v>0.95312671274762983</v>
      </c>
    </row>
    <row r="19" spans="1:25" ht="15" customHeight="1">
      <c r="A19" s="68"/>
      <c r="B19" s="69" t="s">
        <v>30</v>
      </c>
      <c r="C19" s="70" t="s">
        <v>31</v>
      </c>
      <c r="D19" s="71" t="s">
        <v>32</v>
      </c>
      <c r="E19" s="72" t="s">
        <v>3</v>
      </c>
      <c r="F19" s="73" t="s">
        <v>33</v>
      </c>
      <c r="G19" s="74">
        <f t="array" ref="G19">MMULT(H19:L19,Y27:Y31)</f>
        <v>270.68064029089282</v>
      </c>
      <c r="H19" s="75">
        <v>1</v>
      </c>
      <c r="I19" s="76">
        <v>0.47511655818001808</v>
      </c>
      <c r="J19" s="76">
        <f>I19^2</f>
        <v>0.22573574385682652</v>
      </c>
      <c r="K19" s="76">
        <f>I19^3</f>
        <v>0.10725078967946157</v>
      </c>
      <c r="L19" s="77">
        <f>I19^4</f>
        <v>5.0956626054594792E-2</v>
      </c>
      <c r="M19" s="34">
        <v>1</v>
      </c>
      <c r="N19" s="54">
        <f t="shared" si="20"/>
        <v>0.75000000000000011</v>
      </c>
      <c r="O19" s="36">
        <f t="shared" si="11"/>
        <v>0.56250000000000022</v>
      </c>
      <c r="P19" s="36">
        <f t="shared" si="12"/>
        <v>0.42187500000000022</v>
      </c>
      <c r="Q19" s="37">
        <f t="shared" si="13"/>
        <v>0.31640625000000022</v>
      </c>
      <c r="R19" s="42">
        <v>242.78024095337412</v>
      </c>
      <c r="S19" s="44">
        <f t="shared" ref="S19" si="97">R19/y_max</f>
        <v>0.89692502830074983</v>
      </c>
      <c r="T19" s="55">
        <f t="array" ref="T19">SQRT(MMULT(MMULT(M19:Q19,MINVERSE(XTX)),TRANSPOSE(M19:Q19))*$D$21)*$F$23</f>
        <v>3.2265117861845463</v>
      </c>
      <c r="U19" s="44">
        <f t="shared" ref="U19" si="98">(R19-T19)/y_max</f>
        <v>0.88500503364314476</v>
      </c>
      <c r="V19" s="44">
        <f t="shared" ref="V19" si="99">(R19+T19)/y_max</f>
        <v>0.90884502295835479</v>
      </c>
      <c r="W19" s="55">
        <f t="array" ref="W19">SQRT((MMULT(MMULT(M19:Q19,MINVERSE(XTX)),TRANSPOSE(M19:Q19))+1)*$D$21)*$F$23</f>
        <v>7.2304687748634615</v>
      </c>
      <c r="X19" s="56">
        <f t="shared" ref="X19" si="100">(R19-W19)/y_max</f>
        <v>0.87021285277503402</v>
      </c>
      <c r="Y19" s="57">
        <f t="shared" ref="Y19" si="101">(R19+W19)/y_max</f>
        <v>0.92363720382646552</v>
      </c>
    </row>
    <row r="20" spans="1:25" ht="15" customHeight="1">
      <c r="A20" s="78" t="s">
        <v>5</v>
      </c>
      <c r="B20" s="79">
        <f>SUMSQ(F4:F17)-H21*AVERAGE(y)^2</f>
        <v>8301.2307673116447</v>
      </c>
      <c r="C20" s="80">
        <f>5-1</f>
        <v>4</v>
      </c>
      <c r="D20" s="80">
        <f>B20/C20</f>
        <v>2075.3076918279112</v>
      </c>
      <c r="E20" s="81">
        <f>D20/D21</f>
        <v>357.33773514169656</v>
      </c>
      <c r="F20" s="80">
        <f>FDIST(E20,C20,C21)</f>
        <v>6.6348792501630622E-10</v>
      </c>
      <c r="G20" s="82" t="s">
        <v>34</v>
      </c>
      <c r="H20" s="649" t="s">
        <v>35</v>
      </c>
      <c r="I20" s="650"/>
      <c r="J20" s="650"/>
      <c r="K20" s="650"/>
      <c r="L20" s="651"/>
      <c r="M20" s="34">
        <v>1</v>
      </c>
      <c r="N20" s="54">
        <f t="shared" si="20"/>
        <v>0.80000000000000016</v>
      </c>
      <c r="O20" s="36">
        <f t="shared" si="11"/>
        <v>0.64000000000000024</v>
      </c>
      <c r="P20" s="36">
        <f t="shared" si="12"/>
        <v>0.51200000000000023</v>
      </c>
      <c r="Q20" s="37">
        <f t="shared" si="13"/>
        <v>0.4096000000000003</v>
      </c>
      <c r="R20" s="42">
        <v>234.31300594112145</v>
      </c>
      <c r="S20" s="44">
        <f t="shared" ref="S20" si="102">R20/y_max</f>
        <v>0.8656437552730476</v>
      </c>
      <c r="T20" s="55">
        <f t="array" ref="T20">SQRT(MMULT(MMULT(M20:Q20,MINVERSE(XTX)),TRANSPOSE(M20:Q20))*$D$21)*$F$23</f>
        <v>3.554795864416251</v>
      </c>
      <c r="U20" s="44">
        <f t="shared" ref="U20" si="103">(R20-T20)/y_max</f>
        <v>0.85251095101857255</v>
      </c>
      <c r="V20" s="44">
        <f t="shared" ref="V20" si="104">(R20+T20)/y_max</f>
        <v>0.87877655952752265</v>
      </c>
      <c r="W20" s="55">
        <f t="array" ref="W20">SQRT((MMULT(MMULT(M20:Q20,MINVERSE(XTX)),TRANSPOSE(M20:Q20))+1)*$D$21)*$F$23</f>
        <v>7.3828093592858419</v>
      </c>
      <c r="X20" s="56">
        <f t="shared" ref="X20" si="105">(R20-W20)/y_max</f>
        <v>0.83836877413161193</v>
      </c>
      <c r="Y20" s="57">
        <f t="shared" ref="Y20" si="106">(R20+W20)/y_max</f>
        <v>0.89291873641448316</v>
      </c>
    </row>
    <row r="21" spans="1:25" ht="15" customHeight="1">
      <c r="A21" s="78" t="s">
        <v>6</v>
      </c>
      <c r="B21" s="83">
        <f>SUMSQ(y)-SUMSQ(F4:F17)</f>
        <v>52.26923268835526</v>
      </c>
      <c r="C21" s="77">
        <f>H21-5</f>
        <v>9</v>
      </c>
      <c r="D21" s="77">
        <f>B21/C21</f>
        <v>5.8076925209283621</v>
      </c>
      <c r="E21" s="69" t="s">
        <v>36</v>
      </c>
      <c r="F21" s="80">
        <f>SQRT(D21)</f>
        <v>2.4099154592907119</v>
      </c>
      <c r="G21" s="84">
        <f t="array" ref="G21:G25">MMULT(TRANSPOSE(X),y)</f>
        <v>3367</v>
      </c>
      <c r="H21" s="87">
        <f t="array" ref="H21:L25">MMULT(TRANSPOSE(X),X)</f>
        <v>14</v>
      </c>
      <c r="I21" s="88">
        <v>7.6511627906976738</v>
      </c>
      <c r="J21" s="88">
        <v>5.2888047593293672</v>
      </c>
      <c r="K21" s="88">
        <v>4.1007584237865853</v>
      </c>
      <c r="L21" s="80">
        <v>3.3899109658620086</v>
      </c>
      <c r="M21" s="34">
        <v>1</v>
      </c>
      <c r="N21" s="54">
        <f t="shared" si="20"/>
        <v>0.8500000000000002</v>
      </c>
      <c r="O21" s="36">
        <f t="shared" si="11"/>
        <v>0.72250000000000036</v>
      </c>
      <c r="P21" s="36">
        <f t="shared" si="12"/>
        <v>0.61412500000000048</v>
      </c>
      <c r="Q21" s="37">
        <f t="shared" si="13"/>
        <v>0.52200625000000056</v>
      </c>
      <c r="R21" s="42">
        <v>225.97442838432511</v>
      </c>
      <c r="S21" s="44">
        <f t="shared" ref="S21" si="107">R21/y_max</f>
        <v>0.83483779313318007</v>
      </c>
      <c r="T21" s="55">
        <f t="array" ref="T21">SQRT(MMULT(MMULT(M21:Q21,MINVERSE(XTX)),TRANSPOSE(M21:Q21))*$D$21)*$F$23</f>
        <v>3.7599571731984427</v>
      </c>
      <c r="U21" s="44">
        <f t="shared" ref="U21" si="108">(R21-T21)/y_max</f>
        <v>0.82094704287797993</v>
      </c>
      <c r="V21" s="44">
        <f t="shared" ref="V21" si="109">(R21+T21)/y_max</f>
        <v>0.84872854338838011</v>
      </c>
      <c r="W21" s="55">
        <f t="array" ref="W21">SQRT((MMULT(MMULT(M21:Q21,MINVERSE(XTX)),TRANSPOSE(M21:Q21))+1)*$D$21)*$F$23</f>
        <v>7.4837542946153812</v>
      </c>
      <c r="X21" s="56">
        <f t="shared" ref="X21" si="110">(R21-W21)/y_max</f>
        <v>0.80718988197642794</v>
      </c>
      <c r="Y21" s="57">
        <f t="shared" ref="Y21" si="111">(R21+W21)/y_max</f>
        <v>0.86248570428993221</v>
      </c>
    </row>
    <row r="22" spans="1:25" ht="15" customHeight="1">
      <c r="A22" s="91" t="s">
        <v>7</v>
      </c>
      <c r="B22" s="83">
        <f>SUMSQ(y)-H21*AVERAGE(y)^2</f>
        <v>8353.5</v>
      </c>
      <c r="C22" s="77">
        <f>H21-1</f>
        <v>13</v>
      </c>
      <c r="D22" s="92"/>
      <c r="E22" s="91" t="s">
        <v>37</v>
      </c>
      <c r="F22" s="77">
        <f>B20/B22</f>
        <v>0.99374283441810551</v>
      </c>
      <c r="G22" s="85">
        <v>1830.5813953488373</v>
      </c>
      <c r="H22" s="89">
        <v>7.6511627906976738</v>
      </c>
      <c r="I22" s="1">
        <v>5.2888047593293672</v>
      </c>
      <c r="J22" s="1">
        <v>4.1007584237865853</v>
      </c>
      <c r="K22" s="1">
        <v>3.3899109658620086</v>
      </c>
      <c r="L22" s="90">
        <v>2.9179303599589854</v>
      </c>
      <c r="M22" s="34">
        <v>1</v>
      </c>
      <c r="N22" s="54">
        <f t="shared" si="20"/>
        <v>0.90000000000000024</v>
      </c>
      <c r="O22" s="36">
        <f t="shared" si="11"/>
        <v>0.81000000000000039</v>
      </c>
      <c r="P22" s="36">
        <f t="shared" si="12"/>
        <v>0.72900000000000054</v>
      </c>
      <c r="Q22" s="37">
        <f t="shared" si="13"/>
        <v>0.65610000000000057</v>
      </c>
      <c r="R22" s="42">
        <v>218.3459306769374</v>
      </c>
      <c r="S22" s="44">
        <f t="shared" ref="S22" si="112">R22/y_max</f>
        <v>0.80665514327987109</v>
      </c>
      <c r="T22" s="55">
        <f t="array" ref="T22">SQRT(MMULT(MMULT(M22:Q22,MINVERSE(XTX)),TRANSPOSE(M22:Q22))*$D$21)*$F$23</f>
        <v>3.6780250312639531</v>
      </c>
      <c r="U22" s="44">
        <f t="shared" ref="U22" si="113">(R22-T22)/y_max</f>
        <v>0.79306708235570866</v>
      </c>
      <c r="V22" s="44">
        <f t="shared" ref="V22" si="114">(R22+T22)/y_max</f>
        <v>0.82024320420403352</v>
      </c>
      <c r="W22" s="55">
        <f t="array" ref="W22">SQRT((MMULT(MMULT(M22:Q22,MINVERSE(XTX)),TRANSPOSE(M22:Q22))+1)*$D$21)*$F$23</f>
        <v>7.4429274165809201</v>
      </c>
      <c r="X22" s="56">
        <f t="shared" ref="X22" si="115">(R22-W22)/y_max</f>
        <v>0.77915806255558206</v>
      </c>
      <c r="Y22" s="57">
        <f t="shared" ref="Y22" si="116">(R22+W22)/y_max</f>
        <v>0.83415222400416011</v>
      </c>
    </row>
    <row r="23" spans="1:25" ht="15" customHeight="1">
      <c r="A23" s="1"/>
      <c r="B23" s="1"/>
      <c r="C23" s="1"/>
      <c r="E23" s="7" t="s">
        <v>38</v>
      </c>
      <c r="F23" s="93">
        <f>_xlfn.T.INV.2T(0.05/2,C21)</f>
        <v>2.6850108468164544</v>
      </c>
      <c r="G23" s="85">
        <v>1238.6517036235803</v>
      </c>
      <c r="H23" s="89">
        <v>5.2888047593293672</v>
      </c>
      <c r="I23" s="1">
        <v>4.1007584237865853</v>
      </c>
      <c r="J23" s="1">
        <v>3.3899109658620086</v>
      </c>
      <c r="K23" s="1">
        <v>2.9179303599589854</v>
      </c>
      <c r="L23" s="90">
        <v>2.582446208588264</v>
      </c>
      <c r="M23" s="34">
        <v>1</v>
      </c>
      <c r="N23" s="54">
        <f t="shared" si="20"/>
        <v>0.95000000000000029</v>
      </c>
      <c r="O23" s="36">
        <f t="shared" si="11"/>
        <v>0.90250000000000052</v>
      </c>
      <c r="P23" s="36">
        <f t="shared" si="12"/>
        <v>0.85737500000000078</v>
      </c>
      <c r="Q23" s="37">
        <f t="shared" si="13"/>
        <v>0.81450625000000099</v>
      </c>
      <c r="R23" s="42">
        <v>212.06172704165812</v>
      </c>
      <c r="S23" s="44">
        <f t="shared" ref="S23" si="117">R23/y_max</f>
        <v>0.78343884074517256</v>
      </c>
      <c r="T23" s="55">
        <f t="array" ref="T23">SQRT(MMULT(MMULT(M23:Q23,MINVERSE(XTX)),TRANSPOSE(M23:Q23))*$D$21)*$F$23</f>
        <v>3.8137118428314167</v>
      </c>
      <c r="U23" s="44">
        <f t="shared" ref="U23" si="118">(R23-T23)/y_max</f>
        <v>0.76934949974637434</v>
      </c>
      <c r="V23" s="44">
        <f t="shared" ref="V23" si="119">(R23+T23)/y_max</f>
        <v>0.79752818174397078</v>
      </c>
      <c r="W23" s="55">
        <f t="array" ref="W23">SQRT((MMULT(MMULT(M23:Q23,MINVERSE(XTX)),TRANSPOSE(M23:Q23))+1)*$D$21)*$F$23</f>
        <v>7.5109052994988774</v>
      </c>
      <c r="X23" s="56">
        <f t="shared" ref="X23" si="120">(R23-W23)/y_max</f>
        <v>0.75569062317251157</v>
      </c>
      <c r="Y23" s="57">
        <f t="shared" ref="Y23" si="121">(R23+W23)/y_max</f>
        <v>0.81118705831783355</v>
      </c>
    </row>
    <row r="24" spans="1:25" ht="15" customHeight="1">
      <c r="A24"/>
      <c r="B24"/>
      <c r="G24" s="85">
        <v>940.3597041769907</v>
      </c>
      <c r="H24" s="89">
        <v>4.1007584237865853</v>
      </c>
      <c r="I24" s="1">
        <v>3.3899109658620086</v>
      </c>
      <c r="J24" s="1">
        <v>2.9179303599589854</v>
      </c>
      <c r="K24" s="1">
        <v>2.582446208588264</v>
      </c>
      <c r="L24" s="90">
        <v>2.3322654308959279</v>
      </c>
      <c r="M24" s="63">
        <v>1</v>
      </c>
      <c r="N24" s="95">
        <f t="shared" si="20"/>
        <v>1.0000000000000002</v>
      </c>
      <c r="O24" s="96">
        <f t="shared" si="11"/>
        <v>1.0000000000000004</v>
      </c>
      <c r="P24" s="96">
        <f t="shared" si="12"/>
        <v>1.0000000000000007</v>
      </c>
      <c r="Q24" s="97">
        <f t="shared" si="13"/>
        <v>1.0000000000000009</v>
      </c>
      <c r="R24" s="43">
        <v>207.80882352993643</v>
      </c>
      <c r="S24" s="98">
        <f t="shared" ref="S24" si="122">R24/y_max</f>
        <v>0.76772695419447123</v>
      </c>
      <c r="T24" s="99">
        <f t="array" ref="T24">SQRT(MMULT(MMULT(M24:Q24,MINVERSE(XTX)),TRANSPOSE(M24:Q24))*$D$21)*$F$23</f>
        <v>5.9649064759351926</v>
      </c>
      <c r="U24" s="98">
        <f t="shared" ref="U24" si="123">(R24-T24)/y_max</f>
        <v>0.7456902600684161</v>
      </c>
      <c r="V24" s="98">
        <f t="shared" ref="V24" si="124">(R24+T24)/y_max</f>
        <v>0.78976364832052648</v>
      </c>
      <c r="W24" s="99">
        <f t="array" ref="W24">SQRT((MMULT(MMULT(M24:Q24,MINVERSE(XTX)),TRANSPOSE(M24:Q24))+1)*$D$21)*$F$23</f>
        <v>8.8005346237908366</v>
      </c>
      <c r="X24" s="100">
        <f t="shared" ref="X24" si="125">(R24-W24)/y_max</f>
        <v>0.73521434223104032</v>
      </c>
      <c r="Y24" s="101">
        <f t="shared" ref="Y24" si="126">(R24+W24)/y_max</f>
        <v>0.80023956615790226</v>
      </c>
    </row>
    <row r="25" spans="1:25" ht="15" customHeight="1">
      <c r="A25"/>
      <c r="B25"/>
      <c r="G25" s="86">
        <v>763.96320786146953</v>
      </c>
      <c r="H25" s="75">
        <v>3.3899109658620086</v>
      </c>
      <c r="I25" s="76">
        <v>2.9179303599589854</v>
      </c>
      <c r="J25" s="76">
        <v>2.582446208588264</v>
      </c>
      <c r="K25" s="76">
        <v>2.3322654308959279</v>
      </c>
      <c r="L25" s="77">
        <v>2.1389461109475727</v>
      </c>
    </row>
    <row r="26" spans="1:25" ht="15" customHeight="1">
      <c r="Y26" s="82" t="s">
        <v>39</v>
      </c>
    </row>
    <row r="27" spans="1:25" ht="15" customHeight="1">
      <c r="Y27" s="103">
        <f t="array" ref="Y27:Y31">MMULT(MINVERSE(XTX),G21:G25)</f>
        <v>151.40342887521547</v>
      </c>
    </row>
    <row r="28" spans="1:25" ht="15" customHeight="1">
      <c r="Y28" s="104">
        <v>490.41253493679687</v>
      </c>
    </row>
    <row r="29" spans="1:25" ht="15" customHeight="1">
      <c r="Y29" s="104">
        <v>-399.76229140721262</v>
      </c>
    </row>
    <row r="30" spans="1:25" ht="15" customHeight="1">
      <c r="Y30" s="104">
        <v>-386.1903738649562</v>
      </c>
    </row>
    <row r="31" spans="1:25" ht="15" customHeight="1">
      <c r="Y31" s="105">
        <v>351.94552499009296</v>
      </c>
    </row>
    <row r="32" spans="1:25" s="94" customFormat="1" ht="15" customHeight="1"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02"/>
      <c r="V32" s="102"/>
      <c r="W32" s="1"/>
      <c r="X32" s="1"/>
      <c r="Y32" s="1"/>
    </row>
    <row r="33" spans="4:25" s="94" customFormat="1" ht="15" customHeight="1"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02"/>
      <c r="V33" s="102"/>
      <c r="W33" s="1"/>
      <c r="X33" s="1"/>
      <c r="Y33" s="1"/>
    </row>
    <row r="34" spans="4:25" s="94" customFormat="1" ht="15" customHeight="1"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02"/>
      <c r="V34" s="102"/>
      <c r="W34" s="1"/>
      <c r="X34" s="1"/>
      <c r="Y34" s="1"/>
    </row>
    <row r="35" spans="4:25" s="94" customFormat="1" ht="15" customHeight="1"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02"/>
      <c r="V35" s="102"/>
      <c r="W35" s="1"/>
      <c r="X35" s="1"/>
      <c r="Y35" s="1"/>
    </row>
    <row r="36" spans="4:25" s="94" customFormat="1" ht="15" customHeight="1"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02"/>
      <c r="V36" s="102"/>
      <c r="W36" s="1"/>
      <c r="X36" s="1"/>
      <c r="Y36" s="1"/>
    </row>
    <row r="37" spans="4:25" s="94" customFormat="1" ht="15" customHeight="1"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02"/>
      <c r="V37" s="102"/>
      <c r="W37" s="1"/>
      <c r="X37" s="1"/>
      <c r="Y37" s="1"/>
    </row>
    <row r="38" spans="4:25" s="94" customFormat="1" ht="15" customHeight="1"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02"/>
      <c r="V38" s="102"/>
      <c r="W38" s="1"/>
      <c r="X38" s="1"/>
      <c r="Y38" s="1"/>
    </row>
    <row r="39" spans="4:25" s="94" customFormat="1" ht="15" customHeight="1"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02"/>
      <c r="V39" s="102"/>
      <c r="W39" s="1"/>
      <c r="X39" s="1"/>
      <c r="Y39" s="1"/>
    </row>
  </sheetData>
  <mergeCells count="13">
    <mergeCell ref="A18:F18"/>
    <mergeCell ref="H18:L18"/>
    <mergeCell ref="H20:L20"/>
    <mergeCell ref="A1:E1"/>
    <mergeCell ref="F1:Y1"/>
    <mergeCell ref="A2:A3"/>
    <mergeCell ref="B2:C2"/>
    <mergeCell ref="D2:E2"/>
    <mergeCell ref="F2:G2"/>
    <mergeCell ref="H2:L2"/>
    <mergeCell ref="M2:Q2"/>
    <mergeCell ref="R2:S2"/>
    <mergeCell ref="T2:Y2"/>
  </mergeCells>
  <pageMargins left="0.7" right="0.7" top="0.75" bottom="0.75" header="0.3" footer="0.3"/>
  <pageSetup orientation="portrait" horizontalDpi="0" verticalDpi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2FDE-239F-4F20-AF2A-FE1730A7353C}">
  <dimension ref="A1:K20"/>
  <sheetViews>
    <sheetView zoomScale="150" zoomScaleNormal="150" workbookViewId="0">
      <selection sqref="A1:A1048576"/>
    </sheetView>
  </sheetViews>
  <sheetFormatPr defaultColWidth="6.875" defaultRowHeight="15.75"/>
  <cols>
    <col min="1" max="2" width="6.875" style="1"/>
    <col min="3" max="3" width="6.875" style="102" customWidth="1"/>
    <col min="4" max="7" width="6.875" style="1"/>
    <col min="8" max="8" width="6.875" style="102" customWidth="1"/>
    <col min="9" max="9" width="6.875" style="1"/>
    <col min="10" max="10" width="6.875" style="1" customWidth="1"/>
    <col min="11" max="16384" width="6.875" style="1"/>
  </cols>
  <sheetData>
    <row r="1" spans="1:11" ht="31.5">
      <c r="A1" s="21" t="s">
        <v>50</v>
      </c>
      <c r="B1" s="142" t="s">
        <v>49</v>
      </c>
      <c r="C1" s="141" t="s">
        <v>48</v>
      </c>
      <c r="D1" s="571" t="s">
        <v>14</v>
      </c>
      <c r="E1" s="664"/>
      <c r="F1" s="649" t="s">
        <v>27</v>
      </c>
      <c r="G1" s="665"/>
      <c r="H1" s="665"/>
      <c r="I1" s="665"/>
      <c r="J1" s="665"/>
      <c r="K1" s="666"/>
    </row>
    <row r="2" spans="1:11">
      <c r="A2" s="140">
        <v>20</v>
      </c>
      <c r="B2" s="139">
        <v>68.3</v>
      </c>
      <c r="C2" s="138">
        <f t="array" ref="C2:C12">MMULT(D2:E12,F8:F9)</f>
        <v>70.521276595744681</v>
      </c>
      <c r="D2" s="137">
        <v>1</v>
      </c>
      <c r="E2" s="136">
        <f t="shared" ref="E2:E12" si="0">(A2-A$13)/A$14</f>
        <v>-1.8565582432658283</v>
      </c>
      <c r="F2" s="135" t="s">
        <v>47</v>
      </c>
      <c r="G2" s="134" t="s">
        <v>30</v>
      </c>
      <c r="H2" s="133" t="s">
        <v>31</v>
      </c>
      <c r="I2" s="133" t="s">
        <v>32</v>
      </c>
      <c r="J2" s="132" t="s">
        <v>3</v>
      </c>
      <c r="K2" s="131" t="s">
        <v>33</v>
      </c>
    </row>
    <row r="3" spans="1:11">
      <c r="A3" s="52">
        <v>30</v>
      </c>
      <c r="B3" s="116">
        <v>55.3</v>
      </c>
      <c r="C3" s="115">
        <v>55.313829787234042</v>
      </c>
      <c r="D3" s="89">
        <v>1</v>
      </c>
      <c r="E3" s="37">
        <f t="shared" si="0"/>
        <v>-0.72199487238115567</v>
      </c>
      <c r="F3" s="130" t="s">
        <v>5</v>
      </c>
      <c r="G3" s="119">
        <f>SUMSQ(C2:C12)-COUNT(B2:B12)*AVERAGE(B2:B12)^2</f>
        <v>1976.2768375241831</v>
      </c>
      <c r="H3" s="88">
        <f>COUNT(D2:E2)-1</f>
        <v>1</v>
      </c>
      <c r="I3" s="80">
        <f>G3/H3</f>
        <v>1976.2768375241831</v>
      </c>
      <c r="J3" s="81">
        <f>I3/I4</f>
        <v>29.346354704915004</v>
      </c>
      <c r="K3" s="80">
        <f>FDIST(J3,H3,H4)</f>
        <v>4.2336778983829374E-4</v>
      </c>
    </row>
    <row r="4" spans="1:11">
      <c r="A4" s="52">
        <v>30</v>
      </c>
      <c r="B4" s="116">
        <v>58.1</v>
      </c>
      <c r="C4" s="115">
        <v>55.313829787234042</v>
      </c>
      <c r="D4" s="89">
        <v>1</v>
      </c>
      <c r="E4" s="37">
        <f t="shared" si="0"/>
        <v>-0.72199487238115567</v>
      </c>
      <c r="F4" s="67" t="s">
        <v>6</v>
      </c>
      <c r="G4" s="117">
        <f>SUMSQ(B2:B12)-SUMSQ(C2:C12)</f>
        <v>606.08861702127251</v>
      </c>
      <c r="H4" s="76">
        <f>D14-COUNT(D2:E2)</f>
        <v>9</v>
      </c>
      <c r="I4" s="77">
        <f>G4/H4</f>
        <v>67.343179669030278</v>
      </c>
      <c r="J4" s="129" t="s">
        <v>36</v>
      </c>
      <c r="K4" s="80">
        <f>SQRT(I4)</f>
        <v>8.2062890315312611</v>
      </c>
    </row>
    <row r="5" spans="1:11" ht="18.75">
      <c r="A5" s="52">
        <v>30</v>
      </c>
      <c r="B5" s="116">
        <v>44.4</v>
      </c>
      <c r="C5" s="115">
        <v>55.313829787234042</v>
      </c>
      <c r="D5" s="89">
        <v>1</v>
      </c>
      <c r="E5" s="37">
        <f t="shared" si="0"/>
        <v>-0.72199487238115567</v>
      </c>
      <c r="F5" s="67" t="s">
        <v>7</v>
      </c>
      <c r="G5" s="128">
        <f>DEVSQ(B2:B12)</f>
        <v>2582.3654545454547</v>
      </c>
      <c r="H5" s="93">
        <f>D14-1</f>
        <v>10</v>
      </c>
      <c r="I5" s="76">
        <f>G5/H5</f>
        <v>258.23654545454548</v>
      </c>
      <c r="J5" s="127" t="s">
        <v>46</v>
      </c>
      <c r="K5" s="77">
        <f>G3/G5</f>
        <v>0.76529711704652792</v>
      </c>
    </row>
    <row r="6" spans="1:11">
      <c r="A6" s="52">
        <v>30</v>
      </c>
      <c r="B6" s="116">
        <v>61.2</v>
      </c>
      <c r="C6" s="115">
        <v>55.313829787234042</v>
      </c>
      <c r="D6" s="89">
        <v>1</v>
      </c>
      <c r="E6" s="37">
        <f t="shared" si="0"/>
        <v>-0.72199487238115567</v>
      </c>
      <c r="F6" s="649" t="s">
        <v>45</v>
      </c>
      <c r="G6" s="665"/>
      <c r="H6" s="665"/>
      <c r="I6" s="666"/>
    </row>
    <row r="7" spans="1:11" ht="18.75">
      <c r="A7" s="29">
        <v>40</v>
      </c>
      <c r="B7" s="126">
        <v>35.9</v>
      </c>
      <c r="C7" s="125">
        <v>40.106382978723403</v>
      </c>
      <c r="D7" s="87">
        <v>1</v>
      </c>
      <c r="E7" s="124">
        <f t="shared" si="0"/>
        <v>0.41256849850351696</v>
      </c>
      <c r="F7" s="23" t="s">
        <v>39</v>
      </c>
      <c r="G7" s="123" t="s">
        <v>44</v>
      </c>
      <c r="H7" s="122" t="s">
        <v>43</v>
      </c>
      <c r="I7" s="121" t="s">
        <v>33</v>
      </c>
      <c r="J7" s="23" t="s">
        <v>34</v>
      </c>
    </row>
    <row r="8" spans="1:11">
      <c r="A8" s="52">
        <v>40</v>
      </c>
      <c r="B8" s="116">
        <v>42.6</v>
      </c>
      <c r="C8" s="115">
        <v>40.106382978723403</v>
      </c>
      <c r="D8" s="89">
        <v>1</v>
      </c>
      <c r="E8" s="37">
        <f t="shared" si="0"/>
        <v>0.41256849850351696</v>
      </c>
      <c r="F8" s="120">
        <f t="array" ref="F8:F9">MMULT(D17:E18,J8:J9)</f>
        <v>45.636363636363633</v>
      </c>
      <c r="G8" s="119">
        <f t="array" ref="G8:G9">[1]!DIAG(D17:E18)*I4</f>
        <v>6.1221072426391165</v>
      </c>
      <c r="H8" s="81">
        <f>F8/G8</f>
        <v>7.4543554739643403</v>
      </c>
      <c r="I8" s="80">
        <f>TDIST(ABS(H8),H4,2)</f>
        <v>3.8743174430899302E-5</v>
      </c>
      <c r="J8" s="118">
        <f t="array" ref="J8:J9">MMULT(TRANSPOSE(D2:E12),B2:B12)</f>
        <v>502</v>
      </c>
    </row>
    <row r="9" spans="1:11">
      <c r="A9" s="52">
        <v>40</v>
      </c>
      <c r="B9" s="116">
        <v>34.5</v>
      </c>
      <c r="C9" s="115">
        <v>40.106382978723403</v>
      </c>
      <c r="D9" s="89">
        <v>1</v>
      </c>
      <c r="E9" s="37">
        <f t="shared" si="0"/>
        <v>0.41256849850351696</v>
      </c>
      <c r="F9" s="92">
        <v>-13.40378792297223</v>
      </c>
      <c r="G9" s="117">
        <v>6.1221072426391183</v>
      </c>
      <c r="H9" s="106">
        <f>F9/G9</f>
        <v>-2.1894075669922639</v>
      </c>
      <c r="I9" s="77">
        <f>TDIST(ABS(H9),H4,2)</f>
        <v>5.630459763632456E-2</v>
      </c>
      <c r="J9" s="92">
        <v>-147.44166715269463</v>
      </c>
    </row>
    <row r="10" spans="1:11">
      <c r="A10" s="61">
        <v>40</v>
      </c>
      <c r="B10" s="114">
        <v>58.6</v>
      </c>
      <c r="C10" s="113">
        <v>40.106382978723403</v>
      </c>
      <c r="D10" s="75">
        <v>1</v>
      </c>
      <c r="E10" s="66">
        <f t="shared" si="0"/>
        <v>0.41256849850351696</v>
      </c>
    </row>
    <row r="11" spans="1:11">
      <c r="A11" s="52">
        <v>50</v>
      </c>
      <c r="B11" s="116">
        <v>18.399999999999999</v>
      </c>
      <c r="C11" s="115">
        <v>24.898936170212767</v>
      </c>
      <c r="D11" s="89">
        <v>1</v>
      </c>
      <c r="E11" s="37">
        <f t="shared" si="0"/>
        <v>1.5471318693881897</v>
      </c>
    </row>
    <row r="12" spans="1:11">
      <c r="A12" s="61">
        <v>50</v>
      </c>
      <c r="B12" s="114">
        <v>24.7</v>
      </c>
      <c r="C12" s="113">
        <v>24.898936170212767</v>
      </c>
      <c r="D12" s="75">
        <v>1</v>
      </c>
      <c r="E12" s="66">
        <f t="shared" si="0"/>
        <v>1.5471318693881897</v>
      </c>
    </row>
    <row r="13" spans="1:11" ht="18.75">
      <c r="A13" s="112">
        <f>AVERAGE(A2:A12)</f>
        <v>36.363636363636367</v>
      </c>
      <c r="B13" s="111">
        <f>AVERAGE(B2:B12)</f>
        <v>45.636363636363633</v>
      </c>
      <c r="C13" s="110" t="s">
        <v>42</v>
      </c>
      <c r="D13" s="662" t="s">
        <v>35</v>
      </c>
      <c r="E13" s="663"/>
    </row>
    <row r="14" spans="1:11">
      <c r="A14" s="109">
        <f>_xlfn.STDEV.P(A2:A12)</f>
        <v>8.813963377120599</v>
      </c>
      <c r="B14" s="108">
        <f>_xlfn.STDEV.P(B2:B12)</f>
        <v>15.321895961915704</v>
      </c>
      <c r="C14" s="107" t="s">
        <v>41</v>
      </c>
      <c r="D14" s="81">
        <f t="array" ref="D14:E15">MMULT(TRANSPOSE(D2:E12),D2:E12)</f>
        <v>11</v>
      </c>
      <c r="E14" s="80">
        <v>-3.5527136788005009E-15</v>
      </c>
    </row>
    <row r="15" spans="1:11">
      <c r="C15" s="1"/>
      <c r="D15" s="106">
        <v>-3.5527136788005009E-15</v>
      </c>
      <c r="E15" s="77">
        <v>10.999999999999996</v>
      </c>
    </row>
    <row r="16" spans="1:11" ht="18.75">
      <c r="C16" s="1"/>
      <c r="D16" s="662" t="s">
        <v>40</v>
      </c>
      <c r="E16" s="663"/>
    </row>
    <row r="17" spans="3:5">
      <c r="C17" s="1"/>
      <c r="D17" s="81">
        <f t="array" ref="D17:E18">MINVERSE(D14:E15)</f>
        <v>9.0909090909090912E-2</v>
      </c>
      <c r="E17" s="80">
        <v>2.936127007273142E-17</v>
      </c>
    </row>
    <row r="18" spans="3:5">
      <c r="C18" s="1"/>
      <c r="D18" s="106">
        <v>2.9361270072731426E-17</v>
      </c>
      <c r="E18" s="77">
        <v>9.0909090909090939E-2</v>
      </c>
    </row>
    <row r="19" spans="3:5">
      <c r="C19" s="1"/>
    </row>
    <row r="20" spans="3:5">
      <c r="C20" s="1"/>
    </row>
  </sheetData>
  <mergeCells count="5">
    <mergeCell ref="D13:E13"/>
    <mergeCell ref="D16:E16"/>
    <mergeCell ref="D1:E1"/>
    <mergeCell ref="F1:K1"/>
    <mergeCell ref="F6:I6"/>
  </mergeCells>
  <conditionalFormatting sqref="D14:E15 D17:E18">
    <cfRule type="cellIs" dxfId="0" priority="1" operator="between">
      <formula>-0.0001</formula>
      <formula>0.0001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170</vt:i4>
      </vt:variant>
    </vt:vector>
  </HeadingPairs>
  <TitlesOfParts>
    <vt:vector size="203" baseType="lpstr">
      <vt:lpstr>Instructions</vt:lpstr>
      <vt:lpstr>p 109</vt:lpstr>
      <vt:lpstr>9.1-1</vt:lpstr>
      <vt:lpstr>9.5-1</vt:lpstr>
      <vt:lpstr>10.7-1</vt:lpstr>
      <vt:lpstr>10.8-1</vt:lpstr>
      <vt:lpstr>11.1-1</vt:lpstr>
      <vt:lpstr>11.2-1</vt:lpstr>
      <vt:lpstr>11.3-1</vt:lpstr>
      <vt:lpstr>11.4-1</vt:lpstr>
      <vt:lpstr>11.5-1,2</vt:lpstr>
      <vt:lpstr>11.6-1,2</vt:lpstr>
      <vt:lpstr>11.7-1</vt:lpstr>
      <vt:lpstr>12.5-3</vt:lpstr>
      <vt:lpstr>12.7-1</vt:lpstr>
      <vt:lpstr>12.11-1</vt:lpstr>
      <vt:lpstr>12.13-1</vt:lpstr>
      <vt:lpstr>12.14-1</vt:lpstr>
      <vt:lpstr>13.2-1</vt:lpstr>
      <vt:lpstr>13.4-1</vt:lpstr>
      <vt:lpstr>13.5-1</vt:lpstr>
      <vt:lpstr>14.1-2</vt:lpstr>
      <vt:lpstr>14.1-4</vt:lpstr>
      <vt:lpstr>14.4-2</vt:lpstr>
      <vt:lpstr>15.1-5</vt:lpstr>
      <vt:lpstr>15.4-1</vt:lpstr>
      <vt:lpstr>16.2-1</vt:lpstr>
      <vt:lpstr>16.5-1</vt:lpstr>
      <vt:lpstr>16.7-1,2,3</vt:lpstr>
      <vt:lpstr>16.8-1</vt:lpstr>
      <vt:lpstr>Fig 17.1-1</vt:lpstr>
      <vt:lpstr>18.1-3</vt:lpstr>
      <vt:lpstr>20.3-1</vt:lpstr>
      <vt:lpstr>'10.7-1'!a</vt:lpstr>
      <vt:lpstr>'10.8-1'!a</vt:lpstr>
      <vt:lpstr>'11.2-1'!a</vt:lpstr>
      <vt:lpstr>'11.4-1'!A</vt:lpstr>
      <vt:lpstr>'11.5-1,2'!a</vt:lpstr>
      <vt:lpstr>'11.6-1,2'!a</vt:lpstr>
      <vt:lpstr>'11.7-1'!a</vt:lpstr>
      <vt:lpstr>'12.13-1'!a</vt:lpstr>
      <vt:lpstr>'14.4-2'!a</vt:lpstr>
      <vt:lpstr>'16.7-1,2,3'!a</vt:lpstr>
      <vt:lpstr>'16.8-1'!a</vt:lpstr>
      <vt:lpstr>'9.5-1'!a</vt:lpstr>
      <vt:lpstr>'11.4-1'!a_0</vt:lpstr>
      <vt:lpstr>'11.7-1'!a_0</vt:lpstr>
      <vt:lpstr>'11.7-1'!a_1</vt:lpstr>
      <vt:lpstr>'9.5-1'!a_1</vt:lpstr>
      <vt:lpstr>'11.7-1'!a_2</vt:lpstr>
      <vt:lpstr>'9.5-1'!a_2</vt:lpstr>
      <vt:lpstr>'11.7-1'!a_3</vt:lpstr>
      <vt:lpstr>'16.8-1'!a_j</vt:lpstr>
      <vt:lpstr>'16.7-1,2,3'!a_x1</vt:lpstr>
      <vt:lpstr>'16.7-1,2,3'!a_x2</vt:lpstr>
      <vt:lpstr>'16.7-1,2,3'!a_x3</vt:lpstr>
      <vt:lpstr>'16.7-1,2,3'!a_x4</vt:lpstr>
      <vt:lpstr>'16.7-1,2,3'!a_x5</vt:lpstr>
      <vt:lpstr>'16.7-1,2,3'!a_y1</vt:lpstr>
      <vt:lpstr>'16.7-1,2,3'!a_y2</vt:lpstr>
      <vt:lpstr>'16.7-1,2,3'!a_y3</vt:lpstr>
      <vt:lpstr>'16.7-1,2,3'!a_y4</vt:lpstr>
      <vt:lpstr>'16.7-1,2,3'!a_y5</vt:lpstr>
      <vt:lpstr>'11.5-1,2'!b</vt:lpstr>
      <vt:lpstr>'11.6-1,2'!b</vt:lpstr>
      <vt:lpstr>'11.7-1'!b</vt:lpstr>
      <vt:lpstr>'14.4-2'!b</vt:lpstr>
      <vt:lpstr>'11.7-1'!c_</vt:lpstr>
      <vt:lpstr>'11.7-1'!d</vt:lpstr>
      <vt:lpstr>'16.7-1,2,3'!DFR</vt:lpstr>
      <vt:lpstr>'16.8-1'!DFR</vt:lpstr>
      <vt:lpstr>'15.4-1'!F_s</vt:lpstr>
      <vt:lpstr>'15.4-1'!F_t</vt:lpstr>
      <vt:lpstr>'9.5-1'!H</vt:lpstr>
      <vt:lpstr>'14.1-2'!INV_S</vt:lpstr>
      <vt:lpstr>'14.4-2'!INV_S</vt:lpstr>
      <vt:lpstr>'14.1-2'!INV_S1</vt:lpstr>
      <vt:lpstr>'14.1-2'!INV_S2</vt:lpstr>
      <vt:lpstr>'14.1-2'!INV_S3</vt:lpstr>
      <vt:lpstr>'14.4-2'!INV_X</vt:lpstr>
      <vt:lpstr>'16.8-1'!INV_XTX</vt:lpstr>
      <vt:lpstr>INV_XTX</vt:lpstr>
      <vt:lpstr>'15.1-5'!INV_ZSA</vt:lpstr>
      <vt:lpstr>'15.1-5'!INV_ZSC</vt:lpstr>
      <vt:lpstr>'15.1-5'!INV_ZSL</vt:lpstr>
      <vt:lpstr>'11.4-1'!K</vt:lpstr>
      <vt:lpstr>'11.6-1,2'!L</vt:lpstr>
      <vt:lpstr>L</vt:lpstr>
      <vt:lpstr>'11.7-1'!L_T</vt:lpstr>
      <vt:lpstr>'9.5-1'!LT_INV</vt:lpstr>
      <vt:lpstr>'11.2-1'!m</vt:lpstr>
      <vt:lpstr>'12.13-1'!m</vt:lpstr>
      <vt:lpstr>'9.5-1'!m_1</vt:lpstr>
      <vt:lpstr>'9.5-1'!m_2</vt:lpstr>
      <vt:lpstr>'11.2-1'!n</vt:lpstr>
      <vt:lpstr>'12.13-1'!n</vt:lpstr>
      <vt:lpstr>'11.7-1'!p</vt:lpstr>
      <vt:lpstr>'11.7-1'!p_0</vt:lpstr>
      <vt:lpstr>'11.7-1'!p_1</vt:lpstr>
      <vt:lpstr>'11.7-1'!p_2</vt:lpstr>
      <vt:lpstr>'11.7-1'!p_3</vt:lpstr>
      <vt:lpstr>'11.7-1'!Q</vt:lpstr>
      <vt:lpstr>'11.7-1'!Q_0</vt:lpstr>
      <vt:lpstr>'11.7-1'!Q_1</vt:lpstr>
      <vt:lpstr>'11.7-1'!Q_2</vt:lpstr>
      <vt:lpstr>'11.7-1'!Q_3</vt:lpstr>
      <vt:lpstr>'11.7-1'!Q_adj</vt:lpstr>
      <vt:lpstr>'15.4-1'!q_s</vt:lpstr>
      <vt:lpstr>'16.7-1,2,3'!s</vt:lpstr>
      <vt:lpstr>'16.8-1'!s</vt:lpstr>
      <vt:lpstr>'9.5-1'!s_1</vt:lpstr>
      <vt:lpstr>'9.5-1'!s_2</vt:lpstr>
      <vt:lpstr>'11.7-1'!Samek</vt:lpstr>
      <vt:lpstr>'11.7-1'!Samek_Inv</vt:lpstr>
      <vt:lpstr>'16.7-1,2,3'!t_crit</vt:lpstr>
      <vt:lpstr>'16.8-1'!t_crit</vt:lpstr>
      <vt:lpstr>'11.7-1'!U</vt:lpstr>
      <vt:lpstr>'12.13-1'!u</vt:lpstr>
      <vt:lpstr>'11.4-1'!u_</vt:lpstr>
      <vt:lpstr>'11.7-1'!V</vt:lpstr>
      <vt:lpstr>'11.5-1,2'!W</vt:lpstr>
      <vt:lpstr>'11.6-1,2'!W</vt:lpstr>
      <vt:lpstr>'14.1-2'!W</vt:lpstr>
      <vt:lpstr>'14.4-2'!W</vt:lpstr>
      <vt:lpstr>'14.1-2'!W_1</vt:lpstr>
      <vt:lpstr>'14.1-2'!W_2</vt:lpstr>
      <vt:lpstr>'9.5-1'!wX</vt:lpstr>
      <vt:lpstr>'10.7-1'!X</vt:lpstr>
      <vt:lpstr>'11.2-1'!X</vt:lpstr>
      <vt:lpstr>'11.4-1'!X</vt:lpstr>
      <vt:lpstr>'11.5-1,2'!X</vt:lpstr>
      <vt:lpstr>'11.6-1,2'!X</vt:lpstr>
      <vt:lpstr>'11.7-1'!X</vt:lpstr>
      <vt:lpstr>'12.13-1'!X</vt:lpstr>
      <vt:lpstr>'12.14-1'!X</vt:lpstr>
      <vt:lpstr>'14.1-2'!X</vt:lpstr>
      <vt:lpstr>'14.1-4'!X</vt:lpstr>
      <vt:lpstr>'14.4-2'!X</vt:lpstr>
      <vt:lpstr>'16.7-1,2,3'!X</vt:lpstr>
      <vt:lpstr>'16.8-1'!X</vt:lpstr>
      <vt:lpstr>'18.1-3'!X</vt:lpstr>
      <vt:lpstr>X</vt:lpstr>
      <vt:lpstr>'11.4-1'!x_</vt:lpstr>
      <vt:lpstr>'11.7-1'!X_0</vt:lpstr>
      <vt:lpstr>'11.7-1'!X_1</vt:lpstr>
      <vt:lpstr>'16.7-1,2,3'!x_1</vt:lpstr>
      <vt:lpstr>'11.7-1'!X_2</vt:lpstr>
      <vt:lpstr>'16.7-1,2,3'!x_2</vt:lpstr>
      <vt:lpstr>'11.7-1'!X_3</vt:lpstr>
      <vt:lpstr>'16.7-1,2,3'!x_3</vt:lpstr>
      <vt:lpstr>'16.7-1,2,3'!x_4</vt:lpstr>
      <vt:lpstr>'16.7-1,2,3'!x_5</vt:lpstr>
      <vt:lpstr>'16.7-1,2,3'!X_not_1</vt:lpstr>
      <vt:lpstr>'16.7-1,2,3'!X_not_2</vt:lpstr>
      <vt:lpstr>'16.7-1,2,3'!X_not_3</vt:lpstr>
      <vt:lpstr>X_not_4</vt:lpstr>
      <vt:lpstr>'16.7-1,2,3'!X_not_5</vt:lpstr>
      <vt:lpstr>'11.4-1'!x_S</vt:lpstr>
      <vt:lpstr>X_sig</vt:lpstr>
      <vt:lpstr>'16.8-1'!x_SV</vt:lpstr>
      <vt:lpstr>'12.13-1'!XTX</vt:lpstr>
      <vt:lpstr>'14.4-2'!XTX</vt:lpstr>
      <vt:lpstr>'18.1-3'!XTX</vt:lpstr>
      <vt:lpstr>'12.13-1'!XTX_Inv</vt:lpstr>
      <vt:lpstr>'12.13-1'!XTy</vt:lpstr>
      <vt:lpstr>'14.4-2'!XTy</vt:lpstr>
      <vt:lpstr>'10.7-1'!y</vt:lpstr>
      <vt:lpstr>'11.2-1'!y</vt:lpstr>
      <vt:lpstr>'11.4-1'!y</vt:lpstr>
      <vt:lpstr>'11.5-1,2'!y</vt:lpstr>
      <vt:lpstr>'11.6-1,2'!y</vt:lpstr>
      <vt:lpstr>'11.7-1'!y</vt:lpstr>
      <vt:lpstr>'12.13-1'!y</vt:lpstr>
      <vt:lpstr>'14.1-4'!y</vt:lpstr>
      <vt:lpstr>'14.4-2'!y</vt:lpstr>
      <vt:lpstr>'16.7-1,2,3'!y</vt:lpstr>
      <vt:lpstr>'16.8-1'!y</vt:lpstr>
      <vt:lpstr>'18.1-3'!y</vt:lpstr>
      <vt:lpstr>'9.5-1'!y</vt:lpstr>
      <vt:lpstr>y</vt:lpstr>
      <vt:lpstr>'11.2-1'!y_bar</vt:lpstr>
      <vt:lpstr>'16.7-1,2,3'!y_bar</vt:lpstr>
      <vt:lpstr>'16.8-1'!y_bar</vt:lpstr>
      <vt:lpstr>'11.2-1'!y_hat</vt:lpstr>
      <vt:lpstr>'11.7-1'!y_hat</vt:lpstr>
      <vt:lpstr>'12.13-1'!y_hat</vt:lpstr>
      <vt:lpstr>'14.1-4'!y_hat</vt:lpstr>
      <vt:lpstr>'14.4-2'!y_hat</vt:lpstr>
      <vt:lpstr>'16.7-1,2,3'!y_hat</vt:lpstr>
      <vt:lpstr>'16.8-1'!y_hat</vt:lpstr>
      <vt:lpstr>'9.5-1'!y_hat</vt:lpstr>
      <vt:lpstr>'18.1-3'!y_max</vt:lpstr>
      <vt:lpstr>'12.13-1'!y_r</vt:lpstr>
      <vt:lpstr>'11.4-1'!y_S</vt:lpstr>
      <vt:lpstr>'15.1-5'!Z_SA</vt:lpstr>
      <vt:lpstr>'15.1-5'!Z_SC</vt:lpstr>
      <vt:lpstr>'15.1-5'!Z_SL</vt:lpstr>
      <vt:lpstr>'11.4-1'!α</vt:lpstr>
      <vt:lpstr>'11.4-1'!β</vt:lpstr>
      <vt:lpstr>'11.4-1'!Λ</vt:lpstr>
      <vt:lpstr>'16.8-1'!λ</vt:lpstr>
      <vt:lpstr>'11.7-1'!ͶA</vt:lpstr>
      <vt:lpstr>'11.7-1'!ͶS_adj_Inv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Colannino</dc:creator>
  <cp:lastModifiedBy>J. Colannino</cp:lastModifiedBy>
  <dcterms:created xsi:type="dcterms:W3CDTF">2025-03-02T19:18:23Z</dcterms:created>
  <dcterms:modified xsi:type="dcterms:W3CDTF">2025-03-03T00:34:40Z</dcterms:modified>
</cp:coreProperties>
</file>